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16812E09-E2DD-4906-940C-811EBB7A6202}" xr6:coauthVersionLast="47" xr6:coauthVersionMax="47" xr10:uidLastSave="{00000000-0000-0000-0000-000000000000}"/>
  <bookViews>
    <workbookView xWindow="-110" yWindow="-110" windowWidth="19420" windowHeight="10300" xr2:uid="{3B9BAF16-4E40-4374-98CA-69C16456F845}"/>
  </bookViews>
  <sheets>
    <sheet name="Title" sheetId="1" r:id="rId1"/>
    <sheet name="Sen" sheetId="3" r:id="rId2"/>
    <sheet name="Tool" sheetId="4" r:id="rId3"/>
    <sheet name="Functions" sheetId="5" r:id="rId4"/>
  </sheets>
  <externalReferences>
    <externalReference r:id="rId5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3" l="1"/>
  <c r="F9" i="5"/>
  <c r="C9" i="5"/>
  <c r="T8" i="3"/>
  <c r="T5" i="3"/>
  <c r="T9" i="3"/>
  <c r="F3" i="5" a="1"/>
  <c r="T13" i="3"/>
  <c r="V4" i="3" a="1"/>
  <c r="T11" i="3"/>
  <c r="V8" i="3"/>
  <c r="C3" i="5" a="1"/>
  <c r="T12" i="3"/>
  <c r="C21" i="4" a="1"/>
  <c r="D28" i="4" a="1"/>
  <c r="C15" i="4" a="1"/>
  <c r="C6" i="4" a="1"/>
  <c r="D5" i="5" l="1"/>
  <c r="C5" i="5"/>
  <c r="D4" i="5"/>
  <c r="C4" i="5"/>
  <c r="C6" i="5"/>
  <c r="D3" i="5"/>
  <c r="D6" i="5"/>
  <c r="C3" i="5"/>
  <c r="D7" i="5"/>
  <c r="C7" i="5"/>
  <c r="W6" i="3"/>
  <c r="V6" i="3"/>
  <c r="W5" i="3"/>
  <c r="V5" i="3"/>
  <c r="W4" i="3"/>
  <c r="V4" i="3"/>
  <c r="G5" i="5"/>
  <c r="F5" i="5"/>
  <c r="G4" i="5"/>
  <c r="F4" i="5"/>
  <c r="F3" i="5"/>
  <c r="G3" i="5"/>
  <c r="C8" i="4"/>
  <c r="D10" i="4"/>
  <c r="C10" i="4"/>
  <c r="D9" i="4"/>
  <c r="C9" i="4"/>
  <c r="D8" i="4"/>
  <c r="D7" i="4"/>
  <c r="D6" i="4"/>
  <c r="C7" i="4"/>
  <c r="C6" i="4"/>
  <c r="D17" i="4"/>
  <c r="D15" i="4"/>
  <c r="C17" i="4"/>
  <c r="D16" i="4"/>
  <c r="C16" i="4"/>
  <c r="C15" i="4"/>
  <c r="D29" i="4"/>
  <c r="D28" i="4"/>
  <c r="D24" i="4"/>
  <c r="C24" i="4"/>
  <c r="C23" i="4"/>
  <c r="D22" i="4"/>
  <c r="C22" i="4"/>
  <c r="D21" i="4"/>
  <c r="C21" i="4"/>
  <c r="D23" i="4"/>
  <c r="D30" i="4" l="1"/>
  <c r="O15" i="3" l="1"/>
  <c r="C15" i="3"/>
  <c r="O14" i="3"/>
  <c r="N14" i="3"/>
  <c r="C14" i="3"/>
  <c r="O13" i="3"/>
  <c r="N13" i="3"/>
  <c r="M13" i="3"/>
  <c r="C13" i="3"/>
  <c r="O12" i="3"/>
  <c r="N12" i="3"/>
  <c r="M12" i="3"/>
  <c r="L12" i="3"/>
  <c r="C12" i="3"/>
  <c r="O11" i="3"/>
  <c r="N11" i="3"/>
  <c r="M11" i="3"/>
  <c r="L11" i="3"/>
  <c r="K11" i="3"/>
  <c r="C11" i="3"/>
  <c r="O10" i="3"/>
  <c r="N10" i="3"/>
  <c r="M10" i="3"/>
  <c r="L10" i="3"/>
  <c r="K10" i="3"/>
  <c r="J10" i="3"/>
  <c r="C10" i="3"/>
  <c r="O9" i="3"/>
  <c r="N9" i="3"/>
  <c r="M9" i="3"/>
  <c r="L9" i="3"/>
  <c r="K9" i="3"/>
  <c r="J9" i="3"/>
  <c r="I9" i="3"/>
  <c r="C9" i="3"/>
  <c r="O8" i="3"/>
  <c r="N8" i="3"/>
  <c r="M8" i="3"/>
  <c r="L8" i="3"/>
  <c r="K8" i="3"/>
  <c r="J8" i="3"/>
  <c r="I8" i="3"/>
  <c r="H8" i="3"/>
  <c r="C8" i="3"/>
  <c r="O7" i="3"/>
  <c r="N7" i="3"/>
  <c r="M7" i="3"/>
  <c r="L7" i="3"/>
  <c r="K7" i="3"/>
  <c r="J7" i="3"/>
  <c r="I7" i="3"/>
  <c r="H7" i="3"/>
  <c r="G7" i="3"/>
  <c r="C7" i="3"/>
  <c r="O6" i="3"/>
  <c r="N6" i="3"/>
  <c r="M6" i="3"/>
  <c r="L6" i="3"/>
  <c r="K6" i="3"/>
  <c r="J6" i="3"/>
  <c r="I6" i="3"/>
  <c r="H6" i="3"/>
  <c r="G6" i="3"/>
  <c r="F6" i="3"/>
  <c r="C6" i="3"/>
  <c r="O5" i="3"/>
  <c r="N5" i="3"/>
  <c r="M5" i="3"/>
  <c r="L5" i="3"/>
  <c r="K5" i="3"/>
  <c r="J5" i="3"/>
  <c r="I5" i="3"/>
  <c r="H5" i="3"/>
  <c r="G5" i="3"/>
  <c r="F5" i="3"/>
  <c r="E5" i="3"/>
  <c r="C5" i="3"/>
  <c r="O4" i="3"/>
  <c r="N4" i="3"/>
  <c r="M4" i="3"/>
  <c r="L4" i="3"/>
  <c r="K4" i="3"/>
  <c r="J4" i="3"/>
  <c r="I4" i="3"/>
  <c r="H4" i="3"/>
  <c r="G4" i="3"/>
  <c r="F4" i="3"/>
  <c r="E4" i="3"/>
  <c r="D4" i="3"/>
  <c r="C4" i="3"/>
  <c r="D3" i="3" l="1" a="1"/>
  <c r="G3" i="3" s="1"/>
  <c r="O3" i="3"/>
  <c r="D3" i="3"/>
  <c r="D6" i="3" s="1"/>
  <c r="K3" i="3"/>
  <c r="K14" i="3" s="1"/>
  <c r="J3" i="3"/>
  <c r="J13" i="3" s="1"/>
  <c r="I3" i="3"/>
  <c r="I11" i="3" s="1"/>
  <c r="J11" i="3"/>
  <c r="K15" i="3"/>
  <c r="I14" i="3"/>
  <c r="G15" i="3" l="1"/>
  <c r="G9" i="3"/>
  <c r="G14" i="3"/>
  <c r="E3" i="3"/>
  <c r="N3" i="3"/>
  <c r="N15" i="3" s="1"/>
  <c r="J15" i="3"/>
  <c r="L3" i="3"/>
  <c r="K13" i="3"/>
  <c r="D11" i="3"/>
  <c r="J12" i="3"/>
  <c r="M3" i="3"/>
  <c r="H3" i="3"/>
  <c r="F3" i="3"/>
  <c r="D10" i="3"/>
  <c r="D15" i="3"/>
  <c r="D12" i="3"/>
  <c r="D13" i="3"/>
  <c r="D7" i="3"/>
  <c r="D9" i="3"/>
  <c r="D8" i="3"/>
  <c r="E11" i="3"/>
  <c r="G10" i="3"/>
  <c r="G8" i="3"/>
  <c r="E15" i="3"/>
  <c r="E7" i="3"/>
  <c r="E8" i="3"/>
  <c r="K12" i="3"/>
  <c r="I13" i="3"/>
  <c r="I10" i="3"/>
  <c r="I15" i="3"/>
  <c r="I12" i="3"/>
  <c r="F12" i="3"/>
  <c r="F13" i="3"/>
  <c r="F7" i="3"/>
  <c r="F15" i="3"/>
  <c r="D14" i="3"/>
  <c r="J14" i="3"/>
  <c r="G11" i="3"/>
  <c r="G12" i="3"/>
  <c r="G13" i="3"/>
  <c r="D5" i="3"/>
  <c r="H15" i="3" l="1"/>
  <c r="H14" i="3"/>
  <c r="H9" i="3"/>
  <c r="H10" i="3"/>
  <c r="H12" i="3"/>
  <c r="M15" i="3"/>
  <c r="M14" i="3"/>
  <c r="E9" i="3"/>
  <c r="E6" i="3"/>
  <c r="R5" i="3" s="1"/>
  <c r="E14" i="3"/>
  <c r="H11" i="3"/>
  <c r="L15" i="3"/>
  <c r="L13" i="3"/>
  <c r="L14" i="3"/>
  <c r="E13" i="3"/>
  <c r="E10" i="3"/>
  <c r="H13" i="3"/>
  <c r="E12" i="3"/>
  <c r="F10" i="3"/>
  <c r="F14" i="3"/>
  <c r="F8" i="3"/>
  <c r="F11" i="3"/>
  <c r="F9" i="3"/>
  <c r="R11" i="3"/>
  <c r="R7" i="3" l="1"/>
  <c r="R9" i="3" l="1"/>
  <c r="R13" i="3" s="1"/>
  <c r="R8" i="3"/>
  <c r="R12" i="3" s="1"/>
</calcChain>
</file>

<file path=xl/sharedStrings.xml><?xml version="1.0" encoding="utf-8"?>
<sst xmlns="http://schemas.openxmlformats.org/spreadsheetml/2006/main" count="28" uniqueCount="22">
  <si>
    <t>Mann-Kendall Test</t>
  </si>
  <si>
    <t>data</t>
  </si>
  <si>
    <t>alpha</t>
  </si>
  <si>
    <t>s.e.</t>
  </si>
  <si>
    <t>Sen's Slope</t>
  </si>
  <si>
    <t>Data</t>
  </si>
  <si>
    <t># of pairs</t>
  </si>
  <si>
    <t>k</t>
  </si>
  <si>
    <t>=NORM.S.INV(1-R4/2)*R6</t>
  </si>
  <si>
    <t>lower</t>
  </si>
  <si>
    <t>upper</t>
  </si>
  <si>
    <t>slope</t>
  </si>
  <si>
    <t>MK Real Statistics Tool</t>
  </si>
  <si>
    <t>Mann-Kendall and Sen's Slope</t>
  </si>
  <si>
    <t>Real Statistics Using Excel</t>
  </si>
  <si>
    <t>Updated</t>
  </si>
  <si>
    <t>Copyright © 2013 - 2026 Charles Zaiontz</t>
  </si>
  <si>
    <t>Pettitt's Test</t>
  </si>
  <si>
    <t>Cox-Stuart Test</t>
  </si>
  <si>
    <t>p-value</t>
  </si>
  <si>
    <t>ratio</t>
  </si>
  <si>
    <t>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</si>
</sst>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ourier New"/>
      <family val="3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164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0" xfId="0" quotePrefix="1"/>
    <xf numFmtId="164" fontId="0" fillId="0" borderId="2" xfId="0" applyNumberFormat="1" applyBorder="1" applyAlignment="1" applyProtection="1">
      <alignment horizontal="center"/>
      <protection locked="0"/>
    </xf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right"/>
    </xf>
    <xf numFmtId="0" fontId="0" fillId="0" borderId="15" xfId="0" applyBorder="1"/>
    <xf numFmtId="15" fontId="0" fillId="0" borderId="0" xfId="0" applyNumberFormat="1"/>
    <xf numFmtId="0" fontId="3" fillId="0" borderId="0" xfId="0" applyFont="1"/>
  </cellXfs>
  <cellStyles count="2">
    <cellStyle name="Normal" xfId="0" builtinId="0"/>
    <cellStyle name="Normal 2" xfId="1" xr:uid="{A3116A94-BF56-47E3-9CE1-45C022FCC4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Time Series 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Functions!$A$3:$A$72</c:f>
              <c:numCache>
                <c:formatCode>0.0</c:formatCode>
                <c:ptCount val="70"/>
                <c:pt idx="0">
                  <c:v>4.8</c:v>
                </c:pt>
                <c:pt idx="1">
                  <c:v>4.9000000000000004</c:v>
                </c:pt>
                <c:pt idx="2">
                  <c:v>4.5</c:v>
                </c:pt>
                <c:pt idx="3">
                  <c:v>5.9</c:v>
                </c:pt>
                <c:pt idx="4">
                  <c:v>6.8</c:v>
                </c:pt>
                <c:pt idx="5">
                  <c:v>5.3</c:v>
                </c:pt>
                <c:pt idx="6">
                  <c:v>4.5</c:v>
                </c:pt>
                <c:pt idx="7">
                  <c:v>4.0999999999999996</c:v>
                </c:pt>
                <c:pt idx="8">
                  <c:v>5.0999999999999996</c:v>
                </c:pt>
                <c:pt idx="9">
                  <c:v>4.5</c:v>
                </c:pt>
                <c:pt idx="10">
                  <c:v>3.9</c:v>
                </c:pt>
                <c:pt idx="11">
                  <c:v>3</c:v>
                </c:pt>
                <c:pt idx="12">
                  <c:v>5.4</c:v>
                </c:pt>
                <c:pt idx="13">
                  <c:v>3.9</c:v>
                </c:pt>
                <c:pt idx="14">
                  <c:v>5.7</c:v>
                </c:pt>
                <c:pt idx="15">
                  <c:v>4.4000000000000004</c:v>
                </c:pt>
                <c:pt idx="16">
                  <c:v>6.2</c:v>
                </c:pt>
                <c:pt idx="17">
                  <c:v>4.4000000000000004</c:v>
                </c:pt>
                <c:pt idx="18">
                  <c:v>3.7</c:v>
                </c:pt>
                <c:pt idx="19">
                  <c:v>4.4000000000000004</c:v>
                </c:pt>
                <c:pt idx="20">
                  <c:v>4</c:v>
                </c:pt>
                <c:pt idx="21">
                  <c:v>3.8</c:v>
                </c:pt>
                <c:pt idx="22">
                  <c:v>5.0999999999999996</c:v>
                </c:pt>
                <c:pt idx="23">
                  <c:v>4.4000000000000004</c:v>
                </c:pt>
                <c:pt idx="24">
                  <c:v>3.3</c:v>
                </c:pt>
                <c:pt idx="25">
                  <c:v>3.9</c:v>
                </c:pt>
                <c:pt idx="26">
                  <c:v>5.2</c:v>
                </c:pt>
                <c:pt idx="27">
                  <c:v>5.5</c:v>
                </c:pt>
                <c:pt idx="28">
                  <c:v>5.0999999999999996</c:v>
                </c:pt>
                <c:pt idx="29">
                  <c:v>6</c:v>
                </c:pt>
                <c:pt idx="30">
                  <c:v>6.6</c:v>
                </c:pt>
                <c:pt idx="31">
                  <c:v>3.5</c:v>
                </c:pt>
                <c:pt idx="32">
                  <c:v>4.5999999999999996</c:v>
                </c:pt>
                <c:pt idx="33">
                  <c:v>3.6</c:v>
                </c:pt>
                <c:pt idx="34">
                  <c:v>4.8</c:v>
                </c:pt>
                <c:pt idx="35">
                  <c:v>4.0999999999999996</c:v>
                </c:pt>
                <c:pt idx="36">
                  <c:v>5</c:v>
                </c:pt>
                <c:pt idx="37">
                  <c:v>5.4</c:v>
                </c:pt>
                <c:pt idx="38">
                  <c:v>6.2</c:v>
                </c:pt>
                <c:pt idx="39">
                  <c:v>5.5</c:v>
                </c:pt>
                <c:pt idx="40">
                  <c:v>3.5</c:v>
                </c:pt>
                <c:pt idx="41">
                  <c:v>4.9000000000000004</c:v>
                </c:pt>
                <c:pt idx="42">
                  <c:v>3.2</c:v>
                </c:pt>
                <c:pt idx="43">
                  <c:v>5.7</c:v>
                </c:pt>
                <c:pt idx="44">
                  <c:v>7.2</c:v>
                </c:pt>
                <c:pt idx="45">
                  <c:v>6.6</c:v>
                </c:pt>
                <c:pt idx="46">
                  <c:v>6.3</c:v>
                </c:pt>
                <c:pt idx="47">
                  <c:v>6.4</c:v>
                </c:pt>
                <c:pt idx="48">
                  <c:v>4.9000000000000004</c:v>
                </c:pt>
                <c:pt idx="49">
                  <c:v>5.2</c:v>
                </c:pt>
                <c:pt idx="50">
                  <c:v>6.2</c:v>
                </c:pt>
                <c:pt idx="51">
                  <c:v>4.4000000000000004</c:v>
                </c:pt>
                <c:pt idx="52">
                  <c:v>5.7</c:v>
                </c:pt>
                <c:pt idx="53">
                  <c:v>5.3</c:v>
                </c:pt>
                <c:pt idx="54">
                  <c:v>6.6</c:v>
                </c:pt>
                <c:pt idx="55">
                  <c:v>7</c:v>
                </c:pt>
                <c:pt idx="56">
                  <c:v>5.8</c:v>
                </c:pt>
                <c:pt idx="57">
                  <c:v>6.2</c:v>
                </c:pt>
                <c:pt idx="58">
                  <c:v>5.6</c:v>
                </c:pt>
                <c:pt idx="59">
                  <c:v>5.9</c:v>
                </c:pt>
                <c:pt idx="60">
                  <c:v>5.8</c:v>
                </c:pt>
                <c:pt idx="61">
                  <c:v>6.5</c:v>
                </c:pt>
                <c:pt idx="62">
                  <c:v>6.7</c:v>
                </c:pt>
                <c:pt idx="63">
                  <c:v>7.2</c:v>
                </c:pt>
                <c:pt idx="64">
                  <c:v>6</c:v>
                </c:pt>
                <c:pt idx="65">
                  <c:v>5.0999999999999996</c:v>
                </c:pt>
                <c:pt idx="66">
                  <c:v>6.9</c:v>
                </c:pt>
                <c:pt idx="67">
                  <c:v>5.3</c:v>
                </c:pt>
                <c:pt idx="68">
                  <c:v>6.6</c:v>
                </c:pt>
                <c:pt idx="69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62-424E-897C-D93DB669F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684688"/>
        <c:axId val="494692920"/>
      </c:lineChart>
      <c:catAx>
        <c:axId val="494684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692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94692920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684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0</xdr:row>
      <xdr:rowOff>180975</xdr:rowOff>
    </xdr:from>
    <xdr:to>
      <xdr:col>15</xdr:col>
      <xdr:colOff>495300</xdr:colOff>
      <xdr:row>15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06A1B4-ED8A-4C0F-BE7E-16B54094D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%20Mac.xlam" TargetMode="External"/><Relationship Id="rId1" Type="http://schemas.openxmlformats.org/officeDocument/2006/relationships/externalLinkPath" Target="file:///C:\Users\Charles\AppData\Roaming\Microsoft\AddIns\XRealStats%20Mac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Sig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 Mac"/>
    </sheetNames>
    <definedNames>
      <definedName name="CHANGEPT_TEST"/>
      <definedName name="COX_STUART"/>
      <definedName name="FTEXT"/>
      <definedName name="MK_TEST"/>
      <definedName name="SEN_SLOP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FA8B-EDCE-445E-BEA3-27EC4FD49EF4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14</v>
      </c>
    </row>
    <row r="2" spans="1:2" x14ac:dyDescent="0.35">
      <c r="A2" t="s">
        <v>4</v>
      </c>
    </row>
    <row r="4" spans="1:2" x14ac:dyDescent="0.35">
      <c r="A4" t="s">
        <v>15</v>
      </c>
      <c r="B4" s="24">
        <v>46063</v>
      </c>
    </row>
    <row r="6" spans="1:2" x14ac:dyDescent="0.35">
      <c r="A6" s="25" t="s"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4C22-AD3C-4C42-BA7D-A8B783102BCE}">
  <sheetPr codeName="Sheet81"/>
  <dimension ref="A1:W15"/>
  <sheetViews>
    <sheetView workbookViewId="0">
      <selection activeCell="A2" sqref="A2"/>
    </sheetView>
  </sheetViews>
  <sheetFormatPr defaultRowHeight="14.5" x14ac:dyDescent="0.35"/>
  <cols>
    <col min="1" max="1" width="7.7265625" customWidth="1"/>
    <col min="2" max="3" width="4.453125" customWidth="1"/>
    <col min="4" max="15" width="6.7265625" customWidth="1"/>
    <col min="19" max="19" width="3.26953125" customWidth="1"/>
    <col min="20" max="20" width="24" customWidth="1"/>
  </cols>
  <sheetData>
    <row r="1" spans="1:23" x14ac:dyDescent="0.35">
      <c r="A1" s="1" t="s">
        <v>4</v>
      </c>
    </row>
    <row r="3" spans="1:23" x14ac:dyDescent="0.35">
      <c r="A3" s="2" t="s">
        <v>5</v>
      </c>
      <c r="D3" s="18">
        <f t="array" ref="D3:O3">TRANSPOSE(C4:C15)</f>
        <v>6.8</v>
      </c>
      <c r="E3" s="18">
        <v>5.9</v>
      </c>
      <c r="F3" s="18">
        <v>5.7</v>
      </c>
      <c r="G3" s="18">
        <v>5.5</v>
      </c>
      <c r="H3" s="18">
        <v>5.5</v>
      </c>
      <c r="I3" s="18">
        <v>4.5</v>
      </c>
      <c r="J3" s="18">
        <v>4</v>
      </c>
      <c r="K3" s="18">
        <v>5.1000000000000005</v>
      </c>
      <c r="L3" s="18">
        <v>4.5</v>
      </c>
      <c r="M3" s="18">
        <v>4.5</v>
      </c>
      <c r="N3" s="18">
        <v>3.3</v>
      </c>
      <c r="O3" s="18">
        <v>4.8</v>
      </c>
    </row>
    <row r="4" spans="1:23" x14ac:dyDescent="0.35">
      <c r="A4" s="4">
        <v>6.8</v>
      </c>
      <c r="C4" s="19">
        <f>A4</f>
        <v>6.8</v>
      </c>
      <c r="D4" s="5" t="str">
        <f>IF(ROW(D4)-ROW(D$4)&gt;COLUMN(D4)-COLUMN($D4),($C4-D$3)/((ROW(D4)-ROW(D$4))-(COLUMN(D4)-COLUMN($D4))),"")</f>
        <v/>
      </c>
      <c r="E4" s="6" t="str">
        <f t="shared" ref="E4:O15" si="0">IF(ROW(E4)-ROW(E$4)&gt;COLUMN(E4)-COLUMN($D4),($C4-E$3)/((ROW(E4)-ROW(E$4))-(COLUMN(E4)-COLUMN($D4))),"")</f>
        <v/>
      </c>
      <c r="F4" s="6" t="str">
        <f t="shared" si="0"/>
        <v/>
      </c>
      <c r="G4" s="6" t="str">
        <f t="shared" si="0"/>
        <v/>
      </c>
      <c r="H4" s="6" t="str">
        <f t="shared" si="0"/>
        <v/>
      </c>
      <c r="I4" s="6" t="str">
        <f t="shared" si="0"/>
        <v/>
      </c>
      <c r="J4" s="6" t="str">
        <f t="shared" si="0"/>
        <v/>
      </c>
      <c r="K4" s="6" t="str">
        <f t="shared" si="0"/>
        <v/>
      </c>
      <c r="L4" s="6" t="str">
        <f t="shared" si="0"/>
        <v/>
      </c>
      <c r="M4" s="6" t="str">
        <f t="shared" si="0"/>
        <v/>
      </c>
      <c r="N4" s="6" t="str">
        <f t="shared" si="0"/>
        <v/>
      </c>
      <c r="O4" s="7" t="str">
        <f t="shared" si="0"/>
        <v/>
      </c>
      <c r="Q4" t="s">
        <v>2</v>
      </c>
      <c r="R4" s="8">
        <v>0.05</v>
      </c>
      <c r="V4" t="str">
        <f t="array" ref="V4:W6">[1]!SEN_SLOPE(A4:A15,TRUE)</f>
        <v>slope</v>
      </c>
      <c r="W4" s="8">
        <v>-0.20000000000000012</v>
      </c>
    </row>
    <row r="5" spans="1:23" x14ac:dyDescent="0.35">
      <c r="A5" s="4">
        <v>5.9</v>
      </c>
      <c r="C5" s="19">
        <f t="shared" ref="C5:C15" si="1">A5</f>
        <v>5.9</v>
      </c>
      <c r="D5" s="10">
        <f t="shared" ref="D5:D15" si="2">IF(ROW(D5)-ROW(D$4)&gt;COLUMN(D5)-COLUMN($D5),($C5-D$3)/((ROW(D5)-ROW(D$4))-(COLUMN(D5)-COLUMN($D5))),"")</f>
        <v>-0.89999999999999947</v>
      </c>
      <c r="E5" t="str">
        <f t="shared" si="0"/>
        <v/>
      </c>
      <c r="F5" t="str">
        <f t="shared" si="0"/>
        <v/>
      </c>
      <c r="G5" t="str">
        <f t="shared" si="0"/>
        <v/>
      </c>
      <c r="H5" t="str">
        <f t="shared" si="0"/>
        <v/>
      </c>
      <c r="I5" t="str">
        <f t="shared" si="0"/>
        <v/>
      </c>
      <c r="J5" t="str">
        <f t="shared" si="0"/>
        <v/>
      </c>
      <c r="K5" t="str">
        <f t="shared" si="0"/>
        <v/>
      </c>
      <c r="L5" t="str">
        <f t="shared" si="0"/>
        <v/>
      </c>
      <c r="M5" t="str">
        <f t="shared" si="0"/>
        <v/>
      </c>
      <c r="N5" t="str">
        <f t="shared" si="0"/>
        <v/>
      </c>
      <c r="O5" s="11" t="str">
        <f t="shared" si="0"/>
        <v/>
      </c>
      <c r="Q5" t="s">
        <v>6</v>
      </c>
      <c r="R5" s="9">
        <f>COUNT(D5:N15)</f>
        <v>66</v>
      </c>
      <c r="T5" t="str">
        <f>[1]!FTEXT(R5)</f>
        <v>=COUNT(D5:N15)</v>
      </c>
      <c r="V5" t="str">
        <v>lower</v>
      </c>
      <c r="W5" s="9">
        <v>-0.3666666666666667</v>
      </c>
    </row>
    <row r="6" spans="1:23" x14ac:dyDescent="0.35">
      <c r="A6" s="4">
        <v>5.7</v>
      </c>
      <c r="C6" s="19">
        <f t="shared" si="1"/>
        <v>5.7</v>
      </c>
      <c r="D6" s="10">
        <f t="shared" si="2"/>
        <v>-0.54999999999999982</v>
      </c>
      <c r="E6">
        <f t="shared" si="0"/>
        <v>-0.20000000000000018</v>
      </c>
      <c r="F6" t="str">
        <f t="shared" si="0"/>
        <v/>
      </c>
      <c r="G6" t="str">
        <f t="shared" si="0"/>
        <v/>
      </c>
      <c r="H6" t="str">
        <f t="shared" si="0"/>
        <v/>
      </c>
      <c r="I6" t="str">
        <f t="shared" si="0"/>
        <v/>
      </c>
      <c r="J6" t="str">
        <f t="shared" si="0"/>
        <v/>
      </c>
      <c r="K6" t="str">
        <f t="shared" si="0"/>
        <v/>
      </c>
      <c r="L6" t="str">
        <f t="shared" si="0"/>
        <v/>
      </c>
      <c r="M6" t="str">
        <f t="shared" si="0"/>
        <v/>
      </c>
      <c r="N6" t="str">
        <f t="shared" si="0"/>
        <v/>
      </c>
      <c r="O6" s="11" t="str">
        <f t="shared" si="0"/>
        <v/>
      </c>
      <c r="Q6" t="s">
        <v>3</v>
      </c>
      <c r="R6" s="9">
        <f>Tool!D7</f>
        <v>14.422205101855956</v>
      </c>
      <c r="V6" t="str">
        <v>upper</v>
      </c>
      <c r="W6" s="12">
        <v>-0.10000000000000009</v>
      </c>
    </row>
    <row r="7" spans="1:23" x14ac:dyDescent="0.35">
      <c r="A7" s="4">
        <v>5.5</v>
      </c>
      <c r="C7" s="19">
        <f t="shared" si="1"/>
        <v>5.5</v>
      </c>
      <c r="D7" s="10">
        <f t="shared" si="2"/>
        <v>-0.43333333333333329</v>
      </c>
      <c r="E7">
        <f t="shared" si="0"/>
        <v>-0.20000000000000018</v>
      </c>
      <c r="F7">
        <f t="shared" si="0"/>
        <v>-0.20000000000000018</v>
      </c>
      <c r="G7" t="str">
        <f t="shared" si="0"/>
        <v/>
      </c>
      <c r="H7" t="str">
        <f t="shared" si="0"/>
        <v/>
      </c>
      <c r="I7" t="str">
        <f t="shared" si="0"/>
        <v/>
      </c>
      <c r="J7" t="str">
        <f t="shared" si="0"/>
        <v/>
      </c>
      <c r="K7" t="str">
        <f t="shared" si="0"/>
        <v/>
      </c>
      <c r="L7" t="str">
        <f t="shared" si="0"/>
        <v/>
      </c>
      <c r="M7" t="str">
        <f t="shared" si="0"/>
        <v/>
      </c>
      <c r="N7" t="str">
        <f t="shared" si="0"/>
        <v/>
      </c>
      <c r="O7" s="11" t="str">
        <f t="shared" si="0"/>
        <v/>
      </c>
      <c r="Q7" t="s">
        <v>7</v>
      </c>
      <c r="R7" s="9">
        <f>NORMSINV(1-R4/2)*R6</f>
        <v>28.267002577287489</v>
      </c>
      <c r="T7" s="13" t="s">
        <v>8</v>
      </c>
    </row>
    <row r="8" spans="1:23" x14ac:dyDescent="0.35">
      <c r="A8" s="4">
        <v>5.5</v>
      </c>
      <c r="C8" s="19">
        <f t="shared" si="1"/>
        <v>5.5</v>
      </c>
      <c r="D8" s="10">
        <f t="shared" si="2"/>
        <v>-0.32499999999999996</v>
      </c>
      <c r="E8">
        <f t="shared" si="0"/>
        <v>-0.13333333333333344</v>
      </c>
      <c r="F8">
        <f t="shared" si="0"/>
        <v>-0.10000000000000009</v>
      </c>
      <c r="G8">
        <f t="shared" si="0"/>
        <v>0</v>
      </c>
      <c r="H8" t="str">
        <f t="shared" si="0"/>
        <v/>
      </c>
      <c r="I8" t="str">
        <f t="shared" si="0"/>
        <v/>
      </c>
      <c r="J8" t="str">
        <f t="shared" si="0"/>
        <v/>
      </c>
      <c r="K8" t="str">
        <f t="shared" si="0"/>
        <v/>
      </c>
      <c r="L8" t="str">
        <f t="shared" si="0"/>
        <v/>
      </c>
      <c r="M8" t="str">
        <f t="shared" si="0"/>
        <v/>
      </c>
      <c r="N8" t="str">
        <f t="shared" si="0"/>
        <v/>
      </c>
      <c r="O8" s="11" t="str">
        <f t="shared" si="0"/>
        <v/>
      </c>
      <c r="Q8" t="s">
        <v>9</v>
      </c>
      <c r="R8" s="9">
        <f>(R5-R7)/2</f>
        <v>18.866498711356257</v>
      </c>
      <c r="T8" t="str">
        <f>[1]!FTEXT(R8)</f>
        <v>=(R5-R7)/2</v>
      </c>
      <c r="V8" t="str">
        <f>[1]!FTEXT(V4)</f>
        <v>=SEN_SLOPE(A4:A15,TRUE)</v>
      </c>
    </row>
    <row r="9" spans="1:23" x14ac:dyDescent="0.35">
      <c r="A9" s="4">
        <v>4.5</v>
      </c>
      <c r="C9" s="19">
        <f t="shared" si="1"/>
        <v>4.5</v>
      </c>
      <c r="D9" s="10">
        <f t="shared" si="2"/>
        <v>-0.45999999999999996</v>
      </c>
      <c r="E9">
        <f t="shared" si="0"/>
        <v>-0.35000000000000009</v>
      </c>
      <c r="F9">
        <f t="shared" si="0"/>
        <v>-0.40000000000000008</v>
      </c>
      <c r="G9">
        <f t="shared" si="0"/>
        <v>-0.5</v>
      </c>
      <c r="H9">
        <f t="shared" si="0"/>
        <v>-1</v>
      </c>
      <c r="I9" t="str">
        <f t="shared" si="0"/>
        <v/>
      </c>
      <c r="J9" t="str">
        <f t="shared" si="0"/>
        <v/>
      </c>
      <c r="K9" t="str">
        <f t="shared" si="0"/>
        <v/>
      </c>
      <c r="L9" t="str">
        <f t="shared" si="0"/>
        <v/>
      </c>
      <c r="M9" t="str">
        <f t="shared" si="0"/>
        <v/>
      </c>
      <c r="N9" t="str">
        <f t="shared" si="0"/>
        <v/>
      </c>
      <c r="O9" s="11" t="str">
        <f t="shared" si="0"/>
        <v/>
      </c>
      <c r="Q9" t="s">
        <v>10</v>
      </c>
      <c r="R9" s="12">
        <f>(R5+R7)/2</f>
        <v>47.133501288643743</v>
      </c>
      <c r="T9" t="str">
        <f>[1]!FTEXT(R9)</f>
        <v>=(R5+R7)/2</v>
      </c>
    </row>
    <row r="10" spans="1:23" x14ac:dyDescent="0.35">
      <c r="A10" s="4">
        <v>4</v>
      </c>
      <c r="C10" s="19">
        <f t="shared" si="1"/>
        <v>4</v>
      </c>
      <c r="D10" s="10">
        <f t="shared" si="2"/>
        <v>-0.46666666666666662</v>
      </c>
      <c r="E10">
        <f t="shared" si="0"/>
        <v>-0.38000000000000006</v>
      </c>
      <c r="F10">
        <f t="shared" si="0"/>
        <v>-0.42500000000000004</v>
      </c>
      <c r="G10">
        <f t="shared" si="0"/>
        <v>-0.5</v>
      </c>
      <c r="H10">
        <f t="shared" si="0"/>
        <v>-0.75</v>
      </c>
      <c r="I10">
        <f t="shared" si="0"/>
        <v>-0.5</v>
      </c>
      <c r="J10" t="str">
        <f t="shared" si="0"/>
        <v/>
      </c>
      <c r="K10" t="str">
        <f t="shared" si="0"/>
        <v/>
      </c>
      <c r="L10" t="str">
        <f t="shared" si="0"/>
        <v/>
      </c>
      <c r="M10" t="str">
        <f t="shared" si="0"/>
        <v/>
      </c>
      <c r="N10" t="str">
        <f t="shared" si="0"/>
        <v/>
      </c>
      <c r="O10" s="11" t="str">
        <f t="shared" si="0"/>
        <v/>
      </c>
    </row>
    <row r="11" spans="1:23" x14ac:dyDescent="0.35">
      <c r="A11" s="4">
        <v>5.1000000000000005</v>
      </c>
      <c r="C11" s="19">
        <f t="shared" si="1"/>
        <v>5.1000000000000005</v>
      </c>
      <c r="D11" s="10">
        <f t="shared" si="2"/>
        <v>-0.24285714285714274</v>
      </c>
      <c r="E11">
        <f t="shared" si="0"/>
        <v>-0.1333333333333333</v>
      </c>
      <c r="F11">
        <f t="shared" si="0"/>
        <v>-0.11999999999999993</v>
      </c>
      <c r="G11">
        <f t="shared" si="0"/>
        <v>-9.9999999999999867E-2</v>
      </c>
      <c r="H11">
        <f t="shared" si="0"/>
        <v>-0.13333333333333316</v>
      </c>
      <c r="I11">
        <f t="shared" si="0"/>
        <v>0.30000000000000027</v>
      </c>
      <c r="J11">
        <f t="shared" si="0"/>
        <v>1.1000000000000005</v>
      </c>
      <c r="K11" t="str">
        <f t="shared" si="0"/>
        <v/>
      </c>
      <c r="L11" t="str">
        <f t="shared" si="0"/>
        <v/>
      </c>
      <c r="M11" t="str">
        <f t="shared" si="0"/>
        <v/>
      </c>
      <c r="N11" t="str">
        <f t="shared" si="0"/>
        <v/>
      </c>
      <c r="O11" s="11" t="str">
        <f t="shared" si="0"/>
        <v/>
      </c>
      <c r="Q11" t="s">
        <v>11</v>
      </c>
      <c r="R11" s="8">
        <f>MEDIAN(D5:N15)</f>
        <v>-0.20000000000000012</v>
      </c>
      <c r="T11" t="str">
        <f>[1]!FTEXT(R11)</f>
        <v>=MEDIAN(D5:N15)</v>
      </c>
    </row>
    <row r="12" spans="1:23" x14ac:dyDescent="0.35">
      <c r="A12" s="4">
        <v>4.5</v>
      </c>
      <c r="C12" s="19">
        <f t="shared" si="1"/>
        <v>4.5</v>
      </c>
      <c r="D12" s="10">
        <f t="shared" si="2"/>
        <v>-0.28749999999999998</v>
      </c>
      <c r="E12">
        <f t="shared" si="0"/>
        <v>-0.20000000000000004</v>
      </c>
      <c r="F12">
        <f t="shared" si="0"/>
        <v>-0.20000000000000004</v>
      </c>
      <c r="G12">
        <f t="shared" si="0"/>
        <v>-0.2</v>
      </c>
      <c r="H12">
        <f t="shared" si="0"/>
        <v>-0.25</v>
      </c>
      <c r="I12">
        <f t="shared" si="0"/>
        <v>0</v>
      </c>
      <c r="J12">
        <f t="shared" si="0"/>
        <v>0.25</v>
      </c>
      <c r="K12">
        <f t="shared" si="0"/>
        <v>-0.60000000000000053</v>
      </c>
      <c r="L12" t="str">
        <f t="shared" si="0"/>
        <v/>
      </c>
      <c r="M12" t="str">
        <f t="shared" si="0"/>
        <v/>
      </c>
      <c r="N12" t="str">
        <f t="shared" si="0"/>
        <v/>
      </c>
      <c r="O12" s="11" t="str">
        <f t="shared" si="0"/>
        <v/>
      </c>
      <c r="Q12" t="s">
        <v>9</v>
      </c>
      <c r="R12" s="9">
        <f>SMALL(D5:N15,R8)</f>
        <v>-0.3666666666666667</v>
      </c>
      <c r="T12" t="str">
        <f>[1]!FTEXT(R12)</f>
        <v>=SMALL(D5:N15,R8)</v>
      </c>
    </row>
    <row r="13" spans="1:23" x14ac:dyDescent="0.35">
      <c r="A13" s="4">
        <v>4.5</v>
      </c>
      <c r="C13" s="19">
        <f t="shared" si="1"/>
        <v>4.5</v>
      </c>
      <c r="D13" s="10">
        <f t="shared" si="2"/>
        <v>-0.25555555555555554</v>
      </c>
      <c r="E13">
        <f t="shared" si="0"/>
        <v>-0.17500000000000004</v>
      </c>
      <c r="F13">
        <f t="shared" si="0"/>
        <v>-0.17142857142857146</v>
      </c>
      <c r="G13">
        <f t="shared" si="0"/>
        <v>-0.16666666666666666</v>
      </c>
      <c r="H13">
        <f t="shared" si="0"/>
        <v>-0.2</v>
      </c>
      <c r="I13">
        <f t="shared" si="0"/>
        <v>0</v>
      </c>
      <c r="J13">
        <f t="shared" si="0"/>
        <v>0.16666666666666666</v>
      </c>
      <c r="K13">
        <f t="shared" si="0"/>
        <v>-0.30000000000000027</v>
      </c>
      <c r="L13">
        <f t="shared" si="0"/>
        <v>0</v>
      </c>
      <c r="M13" t="str">
        <f t="shared" si="0"/>
        <v/>
      </c>
      <c r="N13" t="str">
        <f t="shared" si="0"/>
        <v/>
      </c>
      <c r="O13" s="11" t="str">
        <f t="shared" si="0"/>
        <v/>
      </c>
      <c r="Q13" t="s">
        <v>10</v>
      </c>
      <c r="R13" s="12">
        <f>SMALL(D5:N15,R9+1)</f>
        <v>-0.10000000000000009</v>
      </c>
      <c r="T13" t="str">
        <f>[1]!FTEXT(R13)</f>
        <v>=SMALL(D5:N15,R9+1)</v>
      </c>
    </row>
    <row r="14" spans="1:23" x14ac:dyDescent="0.35">
      <c r="A14" s="4">
        <v>3.3</v>
      </c>
      <c r="C14" s="19">
        <f t="shared" si="1"/>
        <v>3.3</v>
      </c>
      <c r="D14" s="10">
        <f t="shared" si="2"/>
        <v>-0.35</v>
      </c>
      <c r="E14">
        <f t="shared" si="0"/>
        <v>-0.28888888888888897</v>
      </c>
      <c r="F14">
        <f t="shared" si="0"/>
        <v>-0.30000000000000004</v>
      </c>
      <c r="G14">
        <f t="shared" si="0"/>
        <v>-0.31428571428571433</v>
      </c>
      <c r="H14">
        <f t="shared" si="0"/>
        <v>-0.3666666666666667</v>
      </c>
      <c r="I14">
        <f t="shared" si="0"/>
        <v>-0.24000000000000005</v>
      </c>
      <c r="J14">
        <f t="shared" si="0"/>
        <v>-0.17500000000000004</v>
      </c>
      <c r="K14">
        <f t="shared" si="0"/>
        <v>-0.6000000000000002</v>
      </c>
      <c r="L14">
        <f t="shared" si="0"/>
        <v>-0.60000000000000009</v>
      </c>
      <c r="M14">
        <f t="shared" si="0"/>
        <v>-1.2000000000000002</v>
      </c>
      <c r="N14" t="str">
        <f t="shared" si="0"/>
        <v/>
      </c>
      <c r="O14" s="11" t="str">
        <f t="shared" si="0"/>
        <v/>
      </c>
    </row>
    <row r="15" spans="1:23" x14ac:dyDescent="0.35">
      <c r="A15" s="14">
        <v>4.8</v>
      </c>
      <c r="C15" s="19">
        <f t="shared" si="1"/>
        <v>4.8</v>
      </c>
      <c r="D15" s="15">
        <f t="shared" si="2"/>
        <v>-0.18181818181818182</v>
      </c>
      <c r="E15" s="16">
        <f t="shared" si="0"/>
        <v>-0.11000000000000006</v>
      </c>
      <c r="F15" s="16">
        <f t="shared" si="0"/>
        <v>-0.10000000000000003</v>
      </c>
      <c r="G15" s="16">
        <f t="shared" si="0"/>
        <v>-8.7500000000000022E-2</v>
      </c>
      <c r="H15" s="16">
        <f t="shared" si="0"/>
        <v>-0.10000000000000002</v>
      </c>
      <c r="I15" s="16">
        <f t="shared" si="0"/>
        <v>4.9999999999999968E-2</v>
      </c>
      <c r="J15" s="16">
        <f t="shared" si="0"/>
        <v>0.15999999999999998</v>
      </c>
      <c r="K15" s="16">
        <f t="shared" si="0"/>
        <v>-7.5000000000000178E-2</v>
      </c>
      <c r="L15" s="16">
        <f t="shared" si="0"/>
        <v>9.9999999999999936E-2</v>
      </c>
      <c r="M15" s="16">
        <f t="shared" si="0"/>
        <v>0.14999999999999991</v>
      </c>
      <c r="N15" s="16">
        <f t="shared" si="0"/>
        <v>1.5</v>
      </c>
      <c r="O15" s="17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3251-652D-4DF5-934F-E942E3CE1824}">
  <sheetPr codeName="Sheet110"/>
  <dimension ref="A1:D30"/>
  <sheetViews>
    <sheetView zoomScaleNormal="100" workbookViewId="0"/>
  </sheetViews>
  <sheetFormatPr defaultRowHeight="14.5" x14ac:dyDescent="0.35"/>
  <cols>
    <col min="2" max="2" width="4.54296875" customWidth="1"/>
    <col min="4" max="4" width="9.54296875" customWidth="1"/>
  </cols>
  <sheetData>
    <row r="1" spans="1:4" x14ac:dyDescent="0.35">
      <c r="A1" s="1" t="s">
        <v>12</v>
      </c>
    </row>
    <row r="3" spans="1:4" x14ac:dyDescent="0.35">
      <c r="C3" t="s">
        <v>0</v>
      </c>
    </row>
    <row r="5" spans="1:4" x14ac:dyDescent="0.35">
      <c r="A5" s="2" t="s">
        <v>1</v>
      </c>
      <c r="C5" t="s">
        <v>2</v>
      </c>
      <c r="D5" s="20">
        <v>0.05</v>
      </c>
    </row>
    <row r="6" spans="1:4" x14ac:dyDescent="0.35">
      <c r="A6" s="4">
        <v>6.8</v>
      </c>
      <c r="C6" t="str">
        <f t="array" ref="C6:D10">[1]!MK_TEST(A6:A17,TRUE,2,D5)</f>
        <v>MK-stat</v>
      </c>
      <c r="D6" s="21">
        <v>-44</v>
      </c>
    </row>
    <row r="7" spans="1:4" x14ac:dyDescent="0.35">
      <c r="A7" s="4">
        <v>5.9</v>
      </c>
      <c r="C7" t="str">
        <v>s.e.</v>
      </c>
      <c r="D7" s="21">
        <v>14.422205101855956</v>
      </c>
    </row>
    <row r="8" spans="1:4" x14ac:dyDescent="0.35">
      <c r="A8" s="4">
        <v>5.7</v>
      </c>
      <c r="C8" t="str">
        <v>z-stat</v>
      </c>
      <c r="D8" s="21">
        <v>-2.9815135547106069</v>
      </c>
    </row>
    <row r="9" spans="1:4" x14ac:dyDescent="0.35">
      <c r="A9" s="4">
        <v>5.5</v>
      </c>
      <c r="C9" t="str">
        <v>p-value</v>
      </c>
      <c r="D9" s="21">
        <v>2.8682734900661224E-3</v>
      </c>
    </row>
    <row r="10" spans="1:4" x14ac:dyDescent="0.35">
      <c r="A10" s="4">
        <v>5.5</v>
      </c>
      <c r="C10" t="str">
        <v>trend</v>
      </c>
      <c r="D10" s="22" t="str">
        <v>yes</v>
      </c>
    </row>
    <row r="11" spans="1:4" x14ac:dyDescent="0.35">
      <c r="A11" s="4">
        <v>4.5</v>
      </c>
    </row>
    <row r="12" spans="1:4" x14ac:dyDescent="0.35">
      <c r="A12" s="4">
        <v>4</v>
      </c>
      <c r="C12" t="s">
        <v>4</v>
      </c>
    </row>
    <row r="13" spans="1:4" x14ac:dyDescent="0.35">
      <c r="A13" s="4">
        <v>5.1000000000000005</v>
      </c>
    </row>
    <row r="14" spans="1:4" x14ac:dyDescent="0.35">
      <c r="A14" s="4">
        <v>4.5</v>
      </c>
      <c r="C14" t="s">
        <v>2</v>
      </c>
      <c r="D14" s="20">
        <v>0.05</v>
      </c>
    </row>
    <row r="15" spans="1:4" x14ac:dyDescent="0.35">
      <c r="A15" s="4">
        <v>4.5</v>
      </c>
      <c r="C15" t="str">
        <f t="array" ref="C15:D17">[1]!SEN_SLOPE(A6:A17,TRUE,D14)</f>
        <v>slope</v>
      </c>
      <c r="D15" s="21">
        <v>-0.20000000000000012</v>
      </c>
    </row>
    <row r="16" spans="1:4" x14ac:dyDescent="0.35">
      <c r="A16" s="4">
        <v>3.3</v>
      </c>
      <c r="C16" t="str">
        <v>lower</v>
      </c>
      <c r="D16" s="21">
        <v>-0.3666666666666667</v>
      </c>
    </row>
    <row r="17" spans="1:4" x14ac:dyDescent="0.35">
      <c r="A17" s="14">
        <v>4.8</v>
      </c>
      <c r="C17" t="str">
        <v>upper</v>
      </c>
      <c r="D17" s="23">
        <v>-0.10000000000000009</v>
      </c>
    </row>
    <row r="19" spans="1:4" x14ac:dyDescent="0.35">
      <c r="C19" t="s">
        <v>17</v>
      </c>
    </row>
    <row r="21" spans="1:4" x14ac:dyDescent="0.35">
      <c r="C21" t="str">
        <f t="array" ref="C21:D24">[1]!CHANGEPT_TEST(A6:A17,TRUE)</f>
        <v>point</v>
      </c>
      <c r="D21" s="20">
        <v>5</v>
      </c>
    </row>
    <row r="22" spans="1:4" x14ac:dyDescent="0.35">
      <c r="C22" t="str">
        <v>w-stat</v>
      </c>
      <c r="D22" s="21">
        <v>50</v>
      </c>
    </row>
    <row r="23" spans="1:4" x14ac:dyDescent="0.35">
      <c r="C23" t="str">
        <v>z-stat</v>
      </c>
      <c r="D23" s="21">
        <v>2.7607930059999104</v>
      </c>
    </row>
    <row r="24" spans="1:4" x14ac:dyDescent="0.35">
      <c r="C24" t="str">
        <v>p-value</v>
      </c>
      <c r="D24" s="23">
        <v>5.766120914237261E-3</v>
      </c>
    </row>
    <row r="26" spans="1:4" x14ac:dyDescent="0.35">
      <c r="C26" t="s">
        <v>18</v>
      </c>
    </row>
    <row r="28" spans="1:4" x14ac:dyDescent="0.35">
      <c r="C28" t="s">
        <v>19</v>
      </c>
      <c r="D28" s="20">
        <f t="array" ref="D28:D29">[1]!COX_STUART(A6:A17,1)</f>
        <v>0.109375</v>
      </c>
    </row>
    <row r="29" spans="1:4" x14ac:dyDescent="0.35">
      <c r="C29" t="s">
        <v>20</v>
      </c>
      <c r="D29" s="21">
        <v>0.16666666666666666</v>
      </c>
    </row>
    <row r="30" spans="1:4" x14ac:dyDescent="0.35">
      <c r="C30" t="s">
        <v>21</v>
      </c>
      <c r="D30" s="23" t="str">
        <f>IF(D29&lt;0.5,"decreasing","increasing")</f>
        <v>decreasing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01208-11FD-457A-A277-9E2F418621BF}">
  <sheetPr codeName="Sheet82"/>
  <dimension ref="A1:G72"/>
  <sheetViews>
    <sheetView workbookViewId="0"/>
  </sheetViews>
  <sheetFormatPr defaultRowHeight="14.5" x14ac:dyDescent="0.35"/>
  <cols>
    <col min="8" max="8" width="12" bestFit="1" customWidth="1"/>
  </cols>
  <sheetData>
    <row r="1" spans="1:7" x14ac:dyDescent="0.35">
      <c r="A1" s="1" t="s">
        <v>13</v>
      </c>
    </row>
    <row r="3" spans="1:7" x14ac:dyDescent="0.35">
      <c r="A3" s="3">
        <v>4.8</v>
      </c>
      <c r="C3" t="str">
        <f t="array" ref="C3:D7">[1]!MK_TEST(A3:A72,TRUE,1)</f>
        <v>MK-stat</v>
      </c>
      <c r="D3" s="8">
        <v>839</v>
      </c>
      <c r="F3" t="str">
        <f t="array" ref="F3:G5">[1]!SEN_SLOPE(A3:A72,TRUE,0.01)</f>
        <v>slope</v>
      </c>
      <c r="G3" s="8">
        <v>2.7659574468085101E-2</v>
      </c>
    </row>
    <row r="4" spans="1:7" x14ac:dyDescent="0.35">
      <c r="A4" s="3">
        <v>4.9000000000000004</v>
      </c>
      <c r="C4" t="str">
        <v>s.e.</v>
      </c>
      <c r="D4" s="9">
        <v>197.06936173168404</v>
      </c>
      <c r="F4" t="str">
        <v>lower</v>
      </c>
      <c r="G4" s="9">
        <v>1.3157894736842117E-2</v>
      </c>
    </row>
    <row r="5" spans="1:7" x14ac:dyDescent="0.35">
      <c r="A5" s="3">
        <v>4.5</v>
      </c>
      <c r="C5" t="str">
        <v>z-stat</v>
      </c>
      <c r="D5" s="9">
        <v>4.2523099107661526</v>
      </c>
      <c r="F5" t="str">
        <v>upper</v>
      </c>
      <c r="G5" s="12">
        <v>4.347826086956523E-2</v>
      </c>
    </row>
    <row r="6" spans="1:7" x14ac:dyDescent="0.35">
      <c r="A6" s="3">
        <v>5.9</v>
      </c>
      <c r="C6" t="str">
        <v>p-value</v>
      </c>
      <c r="D6" s="9">
        <v>1.0578839363720458E-5</v>
      </c>
    </row>
    <row r="7" spans="1:7" x14ac:dyDescent="0.35">
      <c r="A7" s="3">
        <v>6.8</v>
      </c>
      <c r="C7" t="str">
        <v>trend</v>
      </c>
      <c r="D7" s="12" t="str">
        <v>upward</v>
      </c>
    </row>
    <row r="8" spans="1:7" x14ac:dyDescent="0.35">
      <c r="A8" s="3">
        <v>5.3</v>
      </c>
    </row>
    <row r="9" spans="1:7" x14ac:dyDescent="0.35">
      <c r="A9" s="3">
        <v>4.5</v>
      </c>
      <c r="C9" t="str">
        <f>[1]!FTEXT(C3)</f>
        <v>=MK_TEST(A3:A72,TRUE,1)</v>
      </c>
      <c r="F9" t="str">
        <f>[1]!FTEXT(F3)</f>
        <v>=SEN_SLOPE(A3:A72,TRUE,0.01)</v>
      </c>
    </row>
    <row r="10" spans="1:7" x14ac:dyDescent="0.35">
      <c r="A10" s="3">
        <v>4.0999999999999996</v>
      </c>
    </row>
    <row r="11" spans="1:7" x14ac:dyDescent="0.35">
      <c r="A11" s="3">
        <v>5.0999999999999996</v>
      </c>
    </row>
    <row r="12" spans="1:7" x14ac:dyDescent="0.35">
      <c r="A12" s="3">
        <v>4.5</v>
      </c>
    </row>
    <row r="13" spans="1:7" x14ac:dyDescent="0.35">
      <c r="A13" s="3">
        <v>3.9</v>
      </c>
    </row>
    <row r="14" spans="1:7" x14ac:dyDescent="0.35">
      <c r="A14" s="3">
        <v>3</v>
      </c>
    </row>
    <row r="15" spans="1:7" x14ac:dyDescent="0.35">
      <c r="A15" s="3">
        <v>5.4</v>
      </c>
    </row>
    <row r="16" spans="1:7" x14ac:dyDescent="0.35">
      <c r="A16" s="3">
        <v>3.9</v>
      </c>
    </row>
    <row r="17" spans="1:1" x14ac:dyDescent="0.35">
      <c r="A17" s="3">
        <v>5.7</v>
      </c>
    </row>
    <row r="18" spans="1:1" x14ac:dyDescent="0.35">
      <c r="A18" s="3">
        <v>4.4000000000000004</v>
      </c>
    </row>
    <row r="19" spans="1:1" x14ac:dyDescent="0.35">
      <c r="A19" s="3">
        <v>6.2</v>
      </c>
    </row>
    <row r="20" spans="1:1" x14ac:dyDescent="0.35">
      <c r="A20" s="3">
        <v>4.4000000000000004</v>
      </c>
    </row>
    <row r="21" spans="1:1" x14ac:dyDescent="0.35">
      <c r="A21" s="3">
        <v>3.7</v>
      </c>
    </row>
    <row r="22" spans="1:1" x14ac:dyDescent="0.35">
      <c r="A22" s="3">
        <v>4.4000000000000004</v>
      </c>
    </row>
    <row r="23" spans="1:1" x14ac:dyDescent="0.35">
      <c r="A23" s="3">
        <v>4</v>
      </c>
    </row>
    <row r="24" spans="1:1" x14ac:dyDescent="0.35">
      <c r="A24" s="3">
        <v>3.8</v>
      </c>
    </row>
    <row r="25" spans="1:1" x14ac:dyDescent="0.35">
      <c r="A25" s="3">
        <v>5.0999999999999996</v>
      </c>
    </row>
    <row r="26" spans="1:1" x14ac:dyDescent="0.35">
      <c r="A26" s="3">
        <v>4.4000000000000004</v>
      </c>
    </row>
    <row r="27" spans="1:1" x14ac:dyDescent="0.35">
      <c r="A27" s="3">
        <v>3.3</v>
      </c>
    </row>
    <row r="28" spans="1:1" x14ac:dyDescent="0.35">
      <c r="A28" s="3">
        <v>3.9</v>
      </c>
    </row>
    <row r="29" spans="1:1" x14ac:dyDescent="0.35">
      <c r="A29" s="3">
        <v>5.2</v>
      </c>
    </row>
    <row r="30" spans="1:1" x14ac:dyDescent="0.35">
      <c r="A30" s="3">
        <v>5.5</v>
      </c>
    </row>
    <row r="31" spans="1:1" x14ac:dyDescent="0.35">
      <c r="A31" s="3">
        <v>5.0999999999999996</v>
      </c>
    </row>
    <row r="32" spans="1:1" x14ac:dyDescent="0.35">
      <c r="A32" s="3">
        <v>6</v>
      </c>
    </row>
    <row r="33" spans="1:1" x14ac:dyDescent="0.35">
      <c r="A33" s="3">
        <v>6.6</v>
      </c>
    </row>
    <row r="34" spans="1:1" x14ac:dyDescent="0.35">
      <c r="A34" s="3">
        <v>3.5</v>
      </c>
    </row>
    <row r="35" spans="1:1" x14ac:dyDescent="0.35">
      <c r="A35" s="3">
        <v>4.5999999999999996</v>
      </c>
    </row>
    <row r="36" spans="1:1" x14ac:dyDescent="0.35">
      <c r="A36" s="3">
        <v>3.6</v>
      </c>
    </row>
    <row r="37" spans="1:1" x14ac:dyDescent="0.35">
      <c r="A37" s="3">
        <v>4.8</v>
      </c>
    </row>
    <row r="38" spans="1:1" x14ac:dyDescent="0.35">
      <c r="A38" s="3">
        <v>4.0999999999999996</v>
      </c>
    </row>
    <row r="39" spans="1:1" x14ac:dyDescent="0.35">
      <c r="A39" s="3">
        <v>5</v>
      </c>
    </row>
    <row r="40" spans="1:1" x14ac:dyDescent="0.35">
      <c r="A40" s="3">
        <v>5.4</v>
      </c>
    </row>
    <row r="41" spans="1:1" x14ac:dyDescent="0.35">
      <c r="A41" s="3">
        <v>6.2</v>
      </c>
    </row>
    <row r="42" spans="1:1" x14ac:dyDescent="0.35">
      <c r="A42" s="3">
        <v>5.5</v>
      </c>
    </row>
    <row r="43" spans="1:1" x14ac:dyDescent="0.35">
      <c r="A43" s="3">
        <v>3.5</v>
      </c>
    </row>
    <row r="44" spans="1:1" x14ac:dyDescent="0.35">
      <c r="A44" s="3">
        <v>4.9000000000000004</v>
      </c>
    </row>
    <row r="45" spans="1:1" x14ac:dyDescent="0.35">
      <c r="A45" s="3">
        <v>3.2</v>
      </c>
    </row>
    <row r="46" spans="1:1" x14ac:dyDescent="0.35">
      <c r="A46" s="3">
        <v>5.7</v>
      </c>
    </row>
    <row r="47" spans="1:1" x14ac:dyDescent="0.35">
      <c r="A47" s="3">
        <v>7.2</v>
      </c>
    </row>
    <row r="48" spans="1:1" x14ac:dyDescent="0.35">
      <c r="A48" s="3">
        <v>6.6</v>
      </c>
    </row>
    <row r="49" spans="1:1" x14ac:dyDescent="0.35">
      <c r="A49" s="3">
        <v>6.3</v>
      </c>
    </row>
    <row r="50" spans="1:1" x14ac:dyDescent="0.35">
      <c r="A50" s="3">
        <v>6.4</v>
      </c>
    </row>
    <row r="51" spans="1:1" x14ac:dyDescent="0.35">
      <c r="A51" s="3">
        <v>4.9000000000000004</v>
      </c>
    </row>
    <row r="52" spans="1:1" x14ac:dyDescent="0.35">
      <c r="A52" s="3">
        <v>5.2</v>
      </c>
    </row>
    <row r="53" spans="1:1" x14ac:dyDescent="0.35">
      <c r="A53" s="3">
        <v>6.2</v>
      </c>
    </row>
    <row r="54" spans="1:1" x14ac:dyDescent="0.35">
      <c r="A54" s="3">
        <v>4.4000000000000004</v>
      </c>
    </row>
    <row r="55" spans="1:1" x14ac:dyDescent="0.35">
      <c r="A55" s="3">
        <v>5.7</v>
      </c>
    </row>
    <row r="56" spans="1:1" x14ac:dyDescent="0.35">
      <c r="A56" s="3">
        <v>5.3</v>
      </c>
    </row>
    <row r="57" spans="1:1" x14ac:dyDescent="0.35">
      <c r="A57" s="3">
        <v>6.6</v>
      </c>
    </row>
    <row r="58" spans="1:1" x14ac:dyDescent="0.35">
      <c r="A58" s="3">
        <v>7</v>
      </c>
    </row>
    <row r="59" spans="1:1" x14ac:dyDescent="0.35">
      <c r="A59" s="3">
        <v>5.8</v>
      </c>
    </row>
    <row r="60" spans="1:1" x14ac:dyDescent="0.35">
      <c r="A60" s="3">
        <v>6.2</v>
      </c>
    </row>
    <row r="61" spans="1:1" x14ac:dyDescent="0.35">
      <c r="A61" s="3">
        <v>5.6</v>
      </c>
    </row>
    <row r="62" spans="1:1" x14ac:dyDescent="0.35">
      <c r="A62" s="3">
        <v>5.9</v>
      </c>
    </row>
    <row r="63" spans="1:1" x14ac:dyDescent="0.35">
      <c r="A63" s="3">
        <v>5.8</v>
      </c>
    </row>
    <row r="64" spans="1:1" x14ac:dyDescent="0.35">
      <c r="A64" s="3">
        <v>6.5</v>
      </c>
    </row>
    <row r="65" spans="1:1" x14ac:dyDescent="0.35">
      <c r="A65" s="3">
        <v>6.7</v>
      </c>
    </row>
    <row r="66" spans="1:1" x14ac:dyDescent="0.35">
      <c r="A66" s="3">
        <v>7.2</v>
      </c>
    </row>
    <row r="67" spans="1:1" x14ac:dyDescent="0.35">
      <c r="A67" s="3">
        <v>6</v>
      </c>
    </row>
    <row r="68" spans="1:1" x14ac:dyDescent="0.35">
      <c r="A68" s="3">
        <v>5.0999999999999996</v>
      </c>
    </row>
    <row r="69" spans="1:1" x14ac:dyDescent="0.35">
      <c r="A69" s="3">
        <v>6.9</v>
      </c>
    </row>
    <row r="70" spans="1:1" x14ac:dyDescent="0.35">
      <c r="A70" s="3">
        <v>5.3</v>
      </c>
    </row>
    <row r="71" spans="1:1" x14ac:dyDescent="0.35">
      <c r="A71" s="3">
        <v>6.6</v>
      </c>
    </row>
    <row r="72" spans="1:1" x14ac:dyDescent="0.35">
      <c r="A72" s="3">
        <v>6.7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Sen</vt:lpstr>
      <vt:lpstr>Tool</vt:lpstr>
      <vt:lpstr>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Zaiontz</cp:lastModifiedBy>
  <dcterms:created xsi:type="dcterms:W3CDTF">2022-06-20T14:59:05Z</dcterms:created>
  <dcterms:modified xsi:type="dcterms:W3CDTF">2026-02-10T10:07:08Z</dcterms:modified>
</cp:coreProperties>
</file>