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92DE750F-9C75-483E-A462-A54CADAD3430}" xr6:coauthVersionLast="47" xr6:coauthVersionMax="47" xr10:uidLastSave="{00000000-0000-0000-0000-000000000000}"/>
  <bookViews>
    <workbookView xWindow="-110" yWindow="-110" windowWidth="19420" windowHeight="10300" xr2:uid="{2213A1F4-029F-4D76-B99F-68BB948FFAED}"/>
  </bookViews>
  <sheets>
    <sheet name="Title" sheetId="2" r:id="rId1"/>
    <sheet name="Yuen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1" l="1"/>
  <c r="AF23" i="1"/>
  <c r="AE23" i="1"/>
  <c r="AF22" i="1"/>
  <c r="AE22" i="1"/>
  <c r="Z22" i="1"/>
  <c r="Z23" i="1" s="1"/>
  <c r="Y22" i="1"/>
  <c r="Y23" i="1" s="1"/>
  <c r="R19" i="1"/>
  <c r="Q19" i="1"/>
  <c r="R18" i="1"/>
  <c r="Q18" i="1"/>
  <c r="U18" i="1" s="1"/>
  <c r="K18" i="1"/>
  <c r="G18" i="1" a="1"/>
  <c r="H20" i="1" s="1"/>
  <c r="Y15" i="1"/>
  <c r="K15" i="1"/>
  <c r="AN14" i="1"/>
  <c r="AN16" i="1" s="1"/>
  <c r="AM14" i="1"/>
  <c r="AM16" i="1" s="1"/>
  <c r="K14" i="1"/>
  <c r="AN13" i="1"/>
  <c r="AM13" i="1"/>
  <c r="K13" i="1"/>
  <c r="K12" i="1"/>
  <c r="K11" i="1"/>
  <c r="AV19" i="1"/>
  <c r="AX19" i="1" s="1"/>
  <c r="AV18" i="1"/>
  <c r="AV17" i="1"/>
  <c r="AV16" i="1"/>
  <c r="AV10" i="1" a="1"/>
  <c r="AV12" i="1" s="1"/>
  <c r="AQ10" i="1" a="1"/>
  <c r="AQ12" i="1" s="1"/>
  <c r="K10" i="1"/>
  <c r="Z8" i="1"/>
  <c r="Y8" i="1"/>
  <c r="K8" i="1"/>
  <c r="AN7" i="1"/>
  <c r="AN9" i="1" s="1"/>
  <c r="AM7" i="1"/>
  <c r="AM9" i="1" s="1"/>
  <c r="K7" i="1"/>
  <c r="AN6" i="1"/>
  <c r="AM6" i="1"/>
  <c r="K5" i="1"/>
  <c r="E15" i="1"/>
  <c r="E14" i="1"/>
  <c r="E5" i="1" a="1"/>
  <c r="E13" i="1" s="1"/>
  <c r="D15" i="1"/>
  <c r="D14" i="1"/>
  <c r="D5" i="1" a="1"/>
  <c r="D13" i="1" s="1"/>
  <c r="K4" i="1"/>
  <c r="Y26" i="1"/>
  <c r="AF21" i="1"/>
  <c r="AE21" i="1"/>
  <c r="AF20" i="1"/>
  <c r="AE20" i="1"/>
  <c r="AF19" i="1"/>
  <c r="AE19" i="1"/>
  <c r="AJ18" i="1"/>
  <c r="AI18" i="1"/>
  <c r="AF18" i="1"/>
  <c r="AE18" i="1"/>
  <c r="N18" i="1"/>
  <c r="O18" i="1" s="1"/>
  <c r="AF17" i="1"/>
  <c r="AE17" i="1"/>
  <c r="AJ16" i="1"/>
  <c r="AJ17" i="1" s="1" a="1"/>
  <c r="AJ17" i="1" s="1"/>
  <c r="AJ10" i="1" s="1"/>
  <c r="AI16" i="1"/>
  <c r="AI17" i="1" s="1" a="1"/>
  <c r="AI17" i="1" s="1"/>
  <c r="AI10" i="1" s="1"/>
  <c r="AF16" i="1"/>
  <c r="AE16" i="1"/>
  <c r="R16" i="1"/>
  <c r="AJ15" i="1"/>
  <c r="AI15" i="1"/>
  <c r="AF15" i="1"/>
  <c r="AE15" i="1"/>
  <c r="AE14" i="1" s="1"/>
  <c r="AJ14" i="1"/>
  <c r="AI14" i="1"/>
  <c r="AI13" i="1" s="1" a="1"/>
  <c r="AI13" i="1" s="1"/>
  <c r="AF14" i="1"/>
  <c r="AP13" i="1"/>
  <c r="AF13" i="1"/>
  <c r="AE13" i="1"/>
  <c r="AP12" i="1"/>
  <c r="AR12" i="1" s="1"/>
  <c r="AF12" i="1"/>
  <c r="AE12" i="1"/>
  <c r="H12" i="1"/>
  <c r="AU11" i="1"/>
  <c r="AW11" i="1" s="1"/>
  <c r="AP11" i="1"/>
  <c r="AF11" i="1"/>
  <c r="AE11" i="1"/>
  <c r="AW10" i="1"/>
  <c r="AF10" i="1"/>
  <c r="AE10" i="1"/>
  <c r="AJ9" i="1"/>
  <c r="AI9" i="1"/>
  <c r="AF9" i="1"/>
  <c r="AE9" i="1"/>
  <c r="AF8" i="1"/>
  <c r="AE8" i="1"/>
  <c r="P8" i="1"/>
  <c r="O8" i="1"/>
  <c r="N8" i="1"/>
  <c r="M8" i="1"/>
  <c r="I8" i="1"/>
  <c r="H8" i="1"/>
  <c r="AV7" i="1"/>
  <c r="AQ7" i="1"/>
  <c r="AF7" i="1"/>
  <c r="AE7" i="1"/>
  <c r="Z7" i="1"/>
  <c r="Y7" i="1"/>
  <c r="P7" i="1"/>
  <c r="O7" i="1"/>
  <c r="N7" i="1"/>
  <c r="P13" i="1" s="1"/>
  <c r="M7" i="1"/>
  <c r="AV6" i="1"/>
  <c r="AQ6" i="1"/>
  <c r="AF6" i="1"/>
  <c r="AE6" i="1"/>
  <c r="Z6" i="1"/>
  <c r="Y6" i="1"/>
  <c r="Y14" i="1" s="1"/>
  <c r="I6" i="1"/>
  <c r="H6" i="1"/>
  <c r="AW5" i="1"/>
  <c r="AV5" i="1"/>
  <c r="AQ5" i="1"/>
  <c r="AR5" i="1" s="1"/>
  <c r="AR10" i="1" s="1"/>
  <c r="AN5" i="1"/>
  <c r="AM5" i="1"/>
  <c r="AJ5" i="1"/>
  <c r="AI5" i="1"/>
  <c r="AF5" i="1"/>
  <c r="AE5" i="1"/>
  <c r="Z5" i="1"/>
  <c r="Y5" i="1"/>
  <c r="I5" i="1"/>
  <c r="H5" i="1"/>
  <c r="I4" i="1"/>
  <c r="I7" i="1" s="1"/>
  <c r="H4" i="1"/>
  <c r="H7" i="1" s="1"/>
  <c r="AQ13" i="1" l="1"/>
  <c r="D5" i="1"/>
  <c r="E5" i="1"/>
  <c r="AQ15" i="1"/>
  <c r="D6" i="1"/>
  <c r="E6" i="1"/>
  <c r="AQ16" i="1"/>
  <c r="D7" i="1"/>
  <c r="E7" i="1"/>
  <c r="AQ17" i="1"/>
  <c r="AS17" i="1" s="1"/>
  <c r="D8" i="1"/>
  <c r="E8" i="1"/>
  <c r="AQ18" i="1"/>
  <c r="AS18" i="1" s="1"/>
  <c r="D9" i="1"/>
  <c r="E9" i="1"/>
  <c r="AQ19" i="1"/>
  <c r="D10" i="1"/>
  <c r="E10" i="1"/>
  <c r="D11" i="1"/>
  <c r="E11" i="1"/>
  <c r="AV13" i="1"/>
  <c r="D12" i="1"/>
  <c r="E12" i="1"/>
  <c r="AV14" i="1"/>
  <c r="AX14" i="1" s="1"/>
  <c r="AV15" i="1"/>
  <c r="AQ14" i="1"/>
  <c r="G18" i="1"/>
  <c r="AQ20" i="1"/>
  <c r="H18" i="1"/>
  <c r="AQ10" i="1"/>
  <c r="AV10" i="1"/>
  <c r="H19" i="1"/>
  <c r="AQ11" i="1"/>
  <c r="AS11" i="1" s="1"/>
  <c r="AV11" i="1"/>
  <c r="AX11" i="1" s="1"/>
  <c r="G20" i="1"/>
  <c r="G19" i="1"/>
  <c r="AS10" i="1"/>
  <c r="AS12" i="1"/>
  <c r="AS20" i="1"/>
  <c r="AS13" i="1"/>
  <c r="AS14" i="1"/>
  <c r="AS15" i="1"/>
  <c r="AS16" i="1"/>
  <c r="AS19" i="1"/>
  <c r="Z25" i="1"/>
  <c r="Z26" i="1" s="1"/>
  <c r="O19" i="1"/>
  <c r="AR11" i="1"/>
  <c r="AR13" i="1"/>
  <c r="P14" i="1"/>
  <c r="R14" i="1" s="1"/>
  <c r="R13" i="1"/>
  <c r="AI20" i="1"/>
  <c r="AI11" i="1" s="1"/>
  <c r="Y18" i="1"/>
  <c r="AJ13" i="1" a="1"/>
  <c r="AJ13" i="1" s="1"/>
  <c r="AJ7" i="1" s="1"/>
  <c r="AX10" i="1"/>
  <c r="P18" i="1"/>
  <c r="P19" i="1" s="1"/>
  <c r="U19" i="1"/>
  <c r="AJ8" i="1"/>
  <c r="AX13" i="1"/>
  <c r="AP14" i="1"/>
  <c r="P9" i="1"/>
  <c r="N13" i="1" s="1"/>
  <c r="Q9" i="1"/>
  <c r="AX15" i="1"/>
  <c r="N19" i="1"/>
  <c r="H9" i="1"/>
  <c r="H10" i="1" s="1"/>
  <c r="I9" i="1"/>
  <c r="I10" i="1" s="1"/>
  <c r="Y9" i="1"/>
  <c r="Y13" i="1" s="1"/>
  <c r="AX16" i="1"/>
  <c r="AU12" i="1"/>
  <c r="AI8" i="1"/>
  <c r="AX12" i="1"/>
  <c r="AI7" i="1"/>
  <c r="Z9" i="1"/>
  <c r="AX17" i="1"/>
  <c r="AX18" i="1"/>
  <c r="Z18" i="1" l="1"/>
  <c r="Y16" i="1"/>
  <c r="S19" i="1"/>
  <c r="T19" i="1"/>
  <c r="H15" i="1"/>
  <c r="H13" i="1"/>
  <c r="H14" i="1" s="1"/>
  <c r="Y19" i="1"/>
  <c r="Y17" i="1"/>
  <c r="AI6" i="1"/>
  <c r="V18" i="1"/>
  <c r="V19" i="1" s="1"/>
  <c r="AJ6" i="1"/>
  <c r="O13" i="1"/>
  <c r="N14" i="1"/>
  <c r="T14" i="1" s="1"/>
  <c r="AW12" i="1"/>
  <c r="AU13" i="1"/>
  <c r="AP15" i="1"/>
  <c r="AR14" i="1"/>
  <c r="AJ11" i="1"/>
  <c r="H16" i="1" l="1"/>
  <c r="Y20" i="1"/>
  <c r="Z19" i="1"/>
  <c r="Z20" i="1" s="1"/>
  <c r="Q13" i="1"/>
  <c r="U13" i="1" s="1"/>
  <c r="O14" i="1"/>
  <c r="Q14" i="1" s="1"/>
  <c r="U14" i="1" s="1"/>
  <c r="V13" i="1"/>
  <c r="V14" i="1" s="1"/>
  <c r="AP16" i="1"/>
  <c r="AR15" i="1"/>
  <c r="AW13" i="1"/>
  <c r="AU14" i="1"/>
  <c r="S14" i="1"/>
  <c r="AU15" i="1" l="1"/>
  <c r="AW14" i="1"/>
  <c r="AP17" i="1"/>
  <c r="AR16" i="1"/>
  <c r="AW15" i="1" l="1"/>
  <c r="AU16" i="1"/>
  <c r="AR17" i="1"/>
  <c r="AP18" i="1"/>
  <c r="AP19" i="1" l="1"/>
  <c r="AR18" i="1"/>
  <c r="AU17" i="1"/>
  <c r="AW16" i="1"/>
  <c r="AR19" i="1" l="1"/>
  <c r="AP20" i="1"/>
  <c r="AR20" i="1" s="1"/>
  <c r="AW17" i="1"/>
  <c r="AU18" i="1"/>
  <c r="AU19" i="1" l="1"/>
  <c r="AW19" i="1" s="1"/>
  <c r="AW18" i="1"/>
</calcChain>
</file>

<file path=xl/sharedStrings.xml><?xml version="1.0" encoding="utf-8"?>
<sst xmlns="http://schemas.openxmlformats.org/spreadsheetml/2006/main" count="145" uniqueCount="97">
  <si>
    <t>Yuen-Welch Test</t>
  </si>
  <si>
    <t>Data</t>
  </si>
  <si>
    <t>Winsorized</t>
  </si>
  <si>
    <t>New</t>
  </si>
  <si>
    <t>Old</t>
  </si>
  <si>
    <t>T Test: Two Independent Samples</t>
  </si>
  <si>
    <t>Mann-Whitney Test for Two Independent Samples</t>
  </si>
  <si>
    <t>Descriptive Statistics</t>
  </si>
  <si>
    <t>Box Plot</t>
  </si>
  <si>
    <t>Shapiro-Wilk Test</t>
  </si>
  <si>
    <t>QQ Plot - New</t>
  </si>
  <si>
    <t>QQ Plot - Old</t>
  </si>
  <si>
    <t>count</t>
  </si>
  <si>
    <t>mean</t>
  </si>
  <si>
    <t>SUMMARY</t>
  </si>
  <si>
    <t>Hyp Mean Diff</t>
  </si>
  <si>
    <t>Count</t>
  </si>
  <si>
    <t>variance</t>
  </si>
  <si>
    <t>=VAR.S(A5:A15)</t>
  </si>
  <si>
    <t>Groups</t>
  </si>
  <si>
    <t>Mean</t>
  </si>
  <si>
    <t>Variance</t>
  </si>
  <si>
    <t>Cohen d</t>
  </si>
  <si>
    <t>Min</t>
  </si>
  <si>
    <t>W-stat</t>
  </si>
  <si>
    <t>trim-count</t>
  </si>
  <si>
    <t>median</t>
  </si>
  <si>
    <t>Standard Error</t>
  </si>
  <si>
    <t>Q1-Min</t>
  </si>
  <si>
    <t>p-value</t>
  </si>
  <si>
    <t>Std Dev</t>
  </si>
  <si>
    <t>trim-mean</t>
  </si>
  <si>
    <t>rank sum</t>
  </si>
  <si>
    <t>Median</t>
  </si>
  <si>
    <t>Med-Q1</t>
  </si>
  <si>
    <t>alpha</t>
  </si>
  <si>
    <t>winsor-var</t>
  </si>
  <si>
    <t>=VAR.S(D5:D15)</t>
  </si>
  <si>
    <t>Pooled</t>
  </si>
  <si>
    <t>U</t>
  </si>
  <si>
    <t>Mode</t>
  </si>
  <si>
    <t>Q3-Med</t>
  </si>
  <si>
    <t>normal</t>
  </si>
  <si>
    <t>Interval</t>
  </si>
  <si>
    <t>Std Norm</t>
  </si>
  <si>
    <t>Std Data</t>
  </si>
  <si>
    <t>se-squared</t>
  </si>
  <si>
    <t>Standard Deviation</t>
  </si>
  <si>
    <t>Max-Q3</t>
  </si>
  <si>
    <t>T TEST: Equal Variances</t>
  </si>
  <si>
    <t>Alpha</t>
  </si>
  <si>
    <t>one tail</t>
  </si>
  <si>
    <t>two tail</t>
  </si>
  <si>
    <t>Sample Variance</t>
  </si>
  <si>
    <t>d'Agostino-Pearson</t>
  </si>
  <si>
    <t>mean-diff</t>
  </si>
  <si>
    <t xml:space="preserve"> </t>
  </si>
  <si>
    <t>std err</t>
  </si>
  <si>
    <t>t-stat</t>
  </si>
  <si>
    <t>df</t>
  </si>
  <si>
    <t>t-crit</t>
  </si>
  <si>
    <t>lower</t>
  </si>
  <si>
    <t>upper</t>
  </si>
  <si>
    <t>sig</t>
  </si>
  <si>
    <t>effect r</t>
  </si>
  <si>
    <t>Kurtosis</t>
  </si>
  <si>
    <t>s.e.</t>
  </si>
  <si>
    <t>One Tail</t>
  </si>
  <si>
    <t>Skewness</t>
  </si>
  <si>
    <t>DA-stat</t>
  </si>
  <si>
    <t>Two Tail</t>
  </si>
  <si>
    <t>Range</t>
  </si>
  <si>
    <t>Q1</t>
  </si>
  <si>
    <t>std dev</t>
  </si>
  <si>
    <t>ties</t>
  </si>
  <si>
    <t>Maximum</t>
  </si>
  <si>
    <t>=T.DIST.2T(ABS(H14),H15)</t>
  </si>
  <si>
    <t>T TEST: Unequal Variances</t>
  </si>
  <si>
    <t>z-score</t>
  </si>
  <si>
    <t>Minimum</t>
  </si>
  <si>
    <t>Q3</t>
  </si>
  <si>
    <t>Sum</t>
  </si>
  <si>
    <t>Max</t>
  </si>
  <si>
    <t>U-crit</t>
  </si>
  <si>
    <t>Geometric Mean</t>
  </si>
  <si>
    <t>sig (norm)</t>
  </si>
  <si>
    <t>Harmonic Mean</t>
  </si>
  <si>
    <t>Grand Min</t>
  </si>
  <si>
    <t>AAD</t>
  </si>
  <si>
    <t>MAD</t>
  </si>
  <si>
    <t>sig (table)</t>
  </si>
  <si>
    <t>IQR</t>
  </si>
  <si>
    <t>sig (exact)</t>
  </si>
  <si>
    <t>Real Statistics Using Excel</t>
  </si>
  <si>
    <t>Updated</t>
  </si>
  <si>
    <t>Copyright © 2013 - 2026 Charles Zaiontz</t>
  </si>
  <si>
    <t>Yuen-Welch’s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</si>
</sst>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7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Yuen!$AH$6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5B9BD5"/>
                  </a:solidFill>
                </a14:hiddenFill>
              </a:ext>
            </a:extLst>
          </c:spPr>
          <c:invertIfNegative val="0"/>
          <c:cat>
            <c:strRef>
              <c:f>Yuen!$AI$5:$AJ$5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Yuen!$AI$6:$AJ$6</c:f>
              <c:numCache>
                <c:formatCode>General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C-478C-B2F4-6BAB0A514012}"/>
            </c:ext>
          </c:extLst>
        </c:ser>
        <c:ser>
          <c:idx val="1"/>
          <c:order val="1"/>
          <c:tx>
            <c:strRef>
              <c:f>Yuen!$AH$7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ED7D31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Yuen!$AI$5:$AJ$5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Yuen!$AI$7:$AJ$7</c:f>
              <c:numCache>
                <c:formatCode>General</c:formatCode>
                <c:ptCount val="2"/>
                <c:pt idx="0">
                  <c:v>4</c:v>
                </c:pt>
                <c:pt idx="1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7C-478C-B2F4-6BAB0A514012}"/>
            </c:ext>
          </c:extLst>
        </c:ser>
        <c:ser>
          <c:idx val="2"/>
          <c:order val="2"/>
          <c:tx>
            <c:strRef>
              <c:f>Yuen!$AH$8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Yuen!$AI$5:$AJ$5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Yuen!$AI$8:$AJ$8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7C-478C-B2F4-6BAB0A514012}"/>
            </c:ext>
          </c:extLst>
        </c:ser>
        <c:ser>
          <c:idx val="3"/>
          <c:order val="3"/>
          <c:tx>
            <c:strRef>
              <c:f>Yuen!$AH$9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Yuen!$AI$10:$AJ$10</c:f>
                <c:numCache>
                  <c:formatCode>General</c:formatCode>
                  <c:ptCount val="2"/>
                  <c:pt idx="0">
                    <c:v>16</c:v>
                  </c:pt>
                  <c:pt idx="1">
                    <c:v>4.5</c:v>
                  </c:pt>
                </c:numCache>
              </c:numRef>
            </c:plus>
          </c:errBars>
          <c:cat>
            <c:strRef>
              <c:f>Yuen!$AI$5:$AJ$5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Yuen!$AI$9:$AJ$9</c:f>
              <c:numCache>
                <c:formatCode>General</c:formatCode>
                <c:ptCount val="2"/>
                <c:pt idx="0">
                  <c:v>10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7C-478C-B2F4-6BAB0A514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601920"/>
        <c:axId val="13362419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Yuen!$AI$11:$AJ$11</c:f>
              <c:numCache>
                <c:formatCode>General</c:formatCode>
                <c:ptCount val="2"/>
                <c:pt idx="0">
                  <c:v>14.272727272727273</c:v>
                </c:pt>
                <c:pt idx="1">
                  <c:v>11.1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07C-478C-B2F4-6BAB0A514012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Ref>
              <c:f>Yuen!$A$15</c:f>
              <c:numCache>
                <c:formatCode>General</c:formatCode>
                <c:ptCount val="1"/>
                <c:pt idx="0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07C-478C-B2F4-6BAB0A514012}"/>
            </c:ext>
          </c:extLst>
        </c:ser>
        <c:ser>
          <c:idx val="6"/>
          <c:order val="6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2</c:v>
              </c:pt>
            </c:numLit>
          </c:xVal>
          <c:yVal>
            <c:numRef>
              <c:f>Yuen!$B$15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07C-478C-B2F4-6BAB0A514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601920"/>
        <c:axId val="133624192"/>
      </c:scatterChart>
      <c:catAx>
        <c:axId val="13360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624192"/>
        <c:crosses val="autoZero"/>
        <c:auto val="1"/>
        <c:lblAlgn val="ctr"/>
        <c:lblOffset val="100"/>
        <c:noMultiLvlLbl val="0"/>
      </c:catAx>
      <c:valAx>
        <c:axId val="133624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601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New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Yuen!$AQ$10:$AQ$20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Yuen!$AR$10:$AR$20</c:f>
              <c:numCache>
                <c:formatCode>General</c:formatCode>
                <c:ptCount val="11"/>
                <c:pt idx="0">
                  <c:v>-1.6906216295848977</c:v>
                </c:pt>
                <c:pt idx="1">
                  <c:v>-1.096803562093513</c:v>
                </c:pt>
                <c:pt idx="2">
                  <c:v>-0.74785859476330196</c:v>
                </c:pt>
                <c:pt idx="3">
                  <c:v>-0.47278912099226744</c:v>
                </c:pt>
                <c:pt idx="4">
                  <c:v>-0.22988411757923208</c:v>
                </c:pt>
                <c:pt idx="5">
                  <c:v>0</c:v>
                </c:pt>
                <c:pt idx="6">
                  <c:v>0.22988411757923222</c:v>
                </c:pt>
                <c:pt idx="7">
                  <c:v>0.47278912099226728</c:v>
                </c:pt>
                <c:pt idx="8">
                  <c:v>0.74785859476330196</c:v>
                </c:pt>
                <c:pt idx="9">
                  <c:v>1.096803562093513</c:v>
                </c:pt>
                <c:pt idx="10">
                  <c:v>1.6906216295848984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A0-4964-8BDB-44D7C713E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64832"/>
        <c:axId val="133466752"/>
      </c:scatterChart>
      <c:valAx>
        <c:axId val="133464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466752"/>
        <c:crosses val="autoZero"/>
        <c:crossBetween val="midCat"/>
      </c:valAx>
      <c:valAx>
        <c:axId val="133466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464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Old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Yuen!$AV$10:$AV$19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Yuen!$AW$10:$AW$19</c:f>
              <c:numCache>
                <c:formatCode>General</c:formatCode>
                <c:ptCount val="10"/>
                <c:pt idx="0">
                  <c:v>-1.6448536269514726</c:v>
                </c:pt>
                <c:pt idx="1">
                  <c:v>-1.0364333894937898</c:v>
                </c:pt>
                <c:pt idx="2">
                  <c:v>-0.67448975019608193</c:v>
                </c:pt>
                <c:pt idx="3">
                  <c:v>-0.38532046640756784</c:v>
                </c:pt>
                <c:pt idx="4">
                  <c:v>-0.12566134685507402</c:v>
                </c:pt>
                <c:pt idx="5">
                  <c:v>0.12566134685507416</c:v>
                </c:pt>
                <c:pt idx="6">
                  <c:v>0.38532046640756784</c:v>
                </c:pt>
                <c:pt idx="7">
                  <c:v>0.67448975019608193</c:v>
                </c:pt>
                <c:pt idx="8">
                  <c:v>1.0364333894937898</c:v>
                </c:pt>
                <c:pt idx="9">
                  <c:v>1.6448536269514715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7C-4FE9-B4E3-3C04F6D3A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632000"/>
        <c:axId val="133633920"/>
      </c:scatterChart>
      <c:valAx>
        <c:axId val="133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633920"/>
        <c:crosses val="autoZero"/>
        <c:crossBetween val="midCat"/>
      </c:valAx>
      <c:valAx>
        <c:axId val="133633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632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342900</xdr:colOff>
      <xdr:row>19</xdr:row>
      <xdr:rowOff>157162</xdr:rowOff>
    </xdr:from>
    <xdr:to>
      <xdr:col>24</xdr:col>
      <xdr:colOff>38100</xdr:colOff>
      <xdr:row>34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7CE0C5-F52C-412B-BC55-FDC7C6722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971550</xdr:colOff>
      <xdr:row>20</xdr:row>
      <xdr:rowOff>128587</xdr:rowOff>
    </xdr:from>
    <xdr:to>
      <xdr:col>16</xdr:col>
      <xdr:colOff>28575</xdr:colOff>
      <xdr:row>35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6A156D5-214D-4F2B-BD01-C20CBB626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20</xdr:row>
      <xdr:rowOff>138112</xdr:rowOff>
    </xdr:from>
    <xdr:to>
      <xdr:col>10</xdr:col>
      <xdr:colOff>866775</xdr:colOff>
      <xdr:row>35</xdr:row>
      <xdr:rowOff>23812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6EACDD7-2263-4877-97AF-A7298BB48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Distributions%2026%20April%202022.xlsx" TargetMode="External"/><Relationship Id="rId1" Type="http://schemas.openxmlformats.org/officeDocument/2006/relationships/externalLinkPath" Target="/38f5cd2f1f925cfd/Documenti/A%20Real%20Statistics%202020/Examples/Real%20Statistics%20Examples%20Distributions%2026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 "/>
      <sheetName val="Normal 1"/>
      <sheetName val="Normal 2"/>
      <sheetName val="Log-Norm 1"/>
      <sheetName val="Log-Norm 2"/>
      <sheetName val="1 Sample Z 1"/>
      <sheetName val="1 Sample Z 2"/>
      <sheetName val="2 Sample Z"/>
      <sheetName val="Uniform Sample"/>
      <sheetName val="Poisson Sample"/>
      <sheetName val="Simulation 1"/>
      <sheetName val="Simulation 2"/>
      <sheetName val="Random"/>
      <sheetName val="MSSD"/>
      <sheetName val="Sampling 1"/>
      <sheetName val="Sampling 2"/>
      <sheetName val="Norm Power 1"/>
      <sheetName val="Norm Power 2"/>
      <sheetName val="Norm Power 3"/>
      <sheetName val="Norm Power 4"/>
      <sheetName val="Norm Power 5"/>
      <sheetName val="Outlier"/>
      <sheetName val="Outlier 1"/>
      <sheetName val="Binomial 1"/>
      <sheetName val="Binomial 2"/>
      <sheetName val="Binomial 3"/>
      <sheetName val="Binomial 4"/>
      <sheetName val="Prop"/>
      <sheetName val="Prop 2"/>
      <sheetName val="Prop 3"/>
      <sheetName val="Prop 4"/>
      <sheetName val="NegBinom"/>
      <sheetName val="Hypgeom"/>
      <sheetName val="Beta"/>
      <sheetName val="Multinom"/>
      <sheetName val="Poisson 1"/>
      <sheetName val="Poisson 2"/>
      <sheetName val="Poisson 3"/>
      <sheetName val="Skellam"/>
      <sheetName val="Runs"/>
      <sheetName val="Bin Power 1"/>
      <sheetName val="Bin Power 2"/>
      <sheetName val="Bin Power 3"/>
      <sheetName val="Gamma"/>
      <sheetName val="Expon"/>
      <sheetName val="Expon 1"/>
      <sheetName val="Uniform"/>
      <sheetName val="Order"/>
      <sheetName val="Range"/>
      <sheetName val="CI Median"/>
      <sheetName val="Weibull A"/>
      <sheetName val="Weibull B"/>
      <sheetName val="Weibull"/>
      <sheetName val="Weibull 1"/>
      <sheetName val="Weibull 2"/>
      <sheetName val="Weibull 3"/>
      <sheetName val="Gumbel"/>
      <sheetName val="Logistic"/>
      <sheetName val="Laplace"/>
      <sheetName val="Pareto"/>
      <sheetName val="Fit Exp"/>
      <sheetName val="Fit Weibull"/>
      <sheetName val="Fit Wei"/>
      <sheetName val="Fit Beta"/>
      <sheetName val="Fit Uniform"/>
      <sheetName val="Fit Gumbel"/>
      <sheetName val="Fit Logistic"/>
      <sheetName val="Fit Pareto"/>
      <sheetName val="Fit Pareto 1"/>
      <sheetName val="Fit GEV"/>
      <sheetName val="MLE Wei"/>
      <sheetName val="MLE Wei 1"/>
      <sheetName val="MLE Wei 2"/>
      <sheetName val="MLE Wei 3"/>
      <sheetName val="MLE Wei 4"/>
      <sheetName val="MLE Gamma"/>
      <sheetName val="MLE Beta"/>
      <sheetName val="MLE Uniform"/>
      <sheetName val="MLE Gumbel"/>
      <sheetName val="MLE Logistic"/>
      <sheetName val="MLE Pareto"/>
      <sheetName val="MLE Lognorm"/>
      <sheetName val="MLE GEV 0"/>
      <sheetName val="MLE GEV 1"/>
      <sheetName val="MLE GEV"/>
      <sheetName val="Reg Wei"/>
      <sheetName val="Gumbel SE"/>
      <sheetName val="Gumbel CI"/>
      <sheetName val="Kernel"/>
      <sheetName val="Kernel 1a"/>
      <sheetName val="Kernel 1b"/>
      <sheetName val="Kernel 1c"/>
      <sheetName val="Kernel 2"/>
      <sheetName val="T Dist"/>
      <sheetName val="T Dist 2"/>
      <sheetName val="T1 Test"/>
      <sheetName val="1 Sample T 1"/>
      <sheetName val="1 Sample T 2"/>
      <sheetName val="1 Sample T 2a"/>
      <sheetName val="1 Sample T 3"/>
      <sheetName val="T Power 1"/>
      <sheetName val="T Power 2"/>
      <sheetName val="T Power 3"/>
      <sheetName val="T Power 4"/>
      <sheetName val="T Power 5"/>
      <sheetName val="T Power 6"/>
      <sheetName val="2 Sample T 1"/>
      <sheetName val="2 Sample T 2"/>
      <sheetName val="2 Sample T 3"/>
      <sheetName val="2 Sample T 4"/>
      <sheetName val="2 Sample T 5"/>
      <sheetName val="2P Sample T 1"/>
      <sheetName val="2P Sample T1a"/>
      <sheetName val="2P Sample T 2"/>
      <sheetName val="2P Sample T 3"/>
      <sheetName val="2P Sample T 3a"/>
      <sheetName val="Trim T"/>
      <sheetName val="Yuen"/>
      <sheetName val="NT 1"/>
      <sheetName val="NT 2"/>
      <sheetName val="Multiple t 1"/>
      <sheetName val="Multiple t 2"/>
      <sheetName val="Multiple t 3"/>
      <sheetName val="COV 1"/>
      <sheetName val="COV 2"/>
      <sheetName val="CV Conf"/>
      <sheetName val="Grubbs"/>
      <sheetName val="ESD"/>
      <sheetName val="TOST"/>
      <sheetName val="Chi-Sq"/>
      <sheetName val="Chi-Sq 0"/>
      <sheetName val="Shape"/>
      <sheetName val="1 Sample Var"/>
      <sheetName val="Good Fit 0"/>
      <sheetName val="Good Fit 1"/>
      <sheetName val="Good Fit 2"/>
      <sheetName val="Good Fit 3"/>
      <sheetName val="Dispers"/>
      <sheetName val="Chi-Sq 1"/>
      <sheetName val="Chi-Sq 2"/>
      <sheetName val="Chi-Sq 3"/>
      <sheetName val="Chi-Sq 4"/>
      <sheetName val="Chi-Sq 5"/>
      <sheetName val="Post-hoc 1"/>
      <sheetName val="Post-hoc 1a"/>
      <sheetName val="Post-hoc 1b"/>
      <sheetName val="Post-hoc 2"/>
      <sheetName val="Std Res"/>
      <sheetName val="Adj Res"/>
      <sheetName val="Fisher"/>
      <sheetName val="Fisher 2"/>
      <sheetName val="Sim 1"/>
      <sheetName val="Sim 2"/>
      <sheetName val="CA"/>
      <sheetName val="CMH"/>
      <sheetName val="CMH 1"/>
      <sheetName val="CMH 2"/>
      <sheetName val="Tol"/>
      <sheetName val="F Dist"/>
      <sheetName val="F Test"/>
      <sheetName val="CI Var Ratio"/>
      <sheetName val="NCHI 1"/>
      <sheetName val="NCHI 2"/>
      <sheetName val="NCHI 3"/>
      <sheetName val="Power Var2"/>
      <sheetName val="Power Var2a"/>
      <sheetName val="NF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>
        <row r="5">
          <cell r="AI5" t="str">
            <v>New</v>
          </cell>
          <cell r="AJ5" t="str">
            <v>Old</v>
          </cell>
        </row>
        <row r="6">
          <cell r="AH6" t="str">
            <v>Min</v>
          </cell>
          <cell r="AI6">
            <v>2</v>
          </cell>
          <cell r="AJ6">
            <v>4</v>
          </cell>
        </row>
        <row r="7">
          <cell r="AH7" t="str">
            <v>Q1-Min</v>
          </cell>
          <cell r="AI7">
            <v>4</v>
          </cell>
          <cell r="AJ7">
            <v>4.5</v>
          </cell>
        </row>
        <row r="8">
          <cell r="AH8" t="str">
            <v>Med-Q1</v>
          </cell>
          <cell r="AI8">
            <v>3</v>
          </cell>
          <cell r="AJ8">
            <v>3</v>
          </cell>
        </row>
        <row r="9">
          <cell r="AH9" t="str">
            <v>Q3-Med</v>
          </cell>
          <cell r="AI9">
            <v>10</v>
          </cell>
          <cell r="AJ9">
            <v>2</v>
          </cell>
        </row>
        <row r="10">
          <cell r="AI10">
            <v>16</v>
          </cell>
          <cell r="AJ10">
            <v>4.5</v>
          </cell>
          <cell r="AQ10">
            <v>2</v>
          </cell>
          <cell r="AR10">
            <v>-1.6906216295848977</v>
          </cell>
          <cell r="AV10">
            <v>4</v>
          </cell>
          <cell r="AW10">
            <v>-1.6448536269514726</v>
          </cell>
        </row>
        <row r="11">
          <cell r="AI11">
            <v>14.272727272727273</v>
          </cell>
          <cell r="AJ11">
            <v>11.1</v>
          </cell>
          <cell r="AQ11">
            <v>4</v>
          </cell>
          <cell r="AR11">
            <v>-1.096803562093513</v>
          </cell>
          <cell r="AV11">
            <v>6</v>
          </cell>
          <cell r="AW11">
            <v>-1.0364333894937898</v>
          </cell>
        </row>
        <row r="12">
          <cell r="AQ12">
            <v>5</v>
          </cell>
          <cell r="AR12">
            <v>-0.74785859476330196</v>
          </cell>
          <cell r="AV12">
            <v>8</v>
          </cell>
          <cell r="AW12">
            <v>-0.67448975019608193</v>
          </cell>
        </row>
        <row r="13">
          <cell r="AQ13">
            <v>7</v>
          </cell>
          <cell r="AR13">
            <v>-0.47278912099226744</v>
          </cell>
          <cell r="AV13">
            <v>10</v>
          </cell>
          <cell r="AW13">
            <v>-0.38532046640756784</v>
          </cell>
        </row>
        <row r="14">
          <cell r="AQ14">
            <v>8</v>
          </cell>
          <cell r="AR14">
            <v>-0.22988411757923208</v>
          </cell>
          <cell r="AV14">
            <v>11</v>
          </cell>
          <cell r="AW14">
            <v>-0.12566134685507402</v>
          </cell>
        </row>
        <row r="15">
          <cell r="A15">
            <v>40</v>
          </cell>
          <cell r="AQ15">
            <v>9</v>
          </cell>
          <cell r="AR15">
            <v>0</v>
          </cell>
          <cell r="AV15">
            <v>12</v>
          </cell>
          <cell r="AW15">
            <v>0.12566134685507416</v>
          </cell>
        </row>
        <row r="16">
          <cell r="AQ16">
            <v>9</v>
          </cell>
          <cell r="AR16">
            <v>0.22988411757923222</v>
          </cell>
          <cell r="AV16">
            <v>12</v>
          </cell>
          <cell r="AW16">
            <v>0.38532046640756784</v>
          </cell>
        </row>
        <row r="17">
          <cell r="AQ17">
            <v>10</v>
          </cell>
          <cell r="AR17">
            <v>0.47278912099226728</v>
          </cell>
          <cell r="AV17">
            <v>14</v>
          </cell>
          <cell r="AW17">
            <v>0.67448975019608193</v>
          </cell>
        </row>
        <row r="18">
          <cell r="AQ18">
            <v>28</v>
          </cell>
          <cell r="AR18">
            <v>0.74785859476330196</v>
          </cell>
          <cell r="AV18">
            <v>16</v>
          </cell>
          <cell r="AW18">
            <v>1.0364333894937898</v>
          </cell>
        </row>
        <row r="19">
          <cell r="AQ19">
            <v>35</v>
          </cell>
          <cell r="AR19">
            <v>1.096803562093513</v>
          </cell>
          <cell r="AV19">
            <v>18</v>
          </cell>
          <cell r="AW19">
            <v>1.6448536269514715</v>
          </cell>
        </row>
        <row r="20">
          <cell r="AQ20">
            <v>40</v>
          </cell>
          <cell r="AR20">
            <v>1.6906216295848984</v>
          </cell>
        </row>
      </sheetData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741B-6370-4EE4-ADC9-342DC4602FC2}">
  <sheetPr codeName="Sheet1"/>
  <dimension ref="A1:M10"/>
  <sheetViews>
    <sheetView tabSelected="1" workbookViewId="0">
      <selection activeCell="A2" sqref="A2"/>
    </sheetView>
  </sheetViews>
  <sheetFormatPr defaultRowHeight="14.5" x14ac:dyDescent="0.35"/>
  <cols>
    <col min="2" max="2" width="9.26953125" bestFit="1" customWidth="1"/>
  </cols>
  <sheetData>
    <row r="1" spans="1:13" x14ac:dyDescent="0.35">
      <c r="A1" t="s">
        <v>93</v>
      </c>
    </row>
    <row r="2" spans="1:13" x14ac:dyDescent="0.35">
      <c r="A2" t="s">
        <v>96</v>
      </c>
    </row>
    <row r="4" spans="1:13" x14ac:dyDescent="0.35">
      <c r="A4" t="s">
        <v>94</v>
      </c>
      <c r="B4" s="28">
        <v>46026</v>
      </c>
    </row>
    <row r="6" spans="1:13" x14ac:dyDescent="0.35">
      <c r="A6" s="29" t="s">
        <v>95</v>
      </c>
    </row>
    <row r="10" spans="1:13" ht="18.5" x14ac:dyDescent="0.45">
      <c r="M10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9740-8BA1-4C1E-BA2F-E3D5BA0741A3}">
  <sheetPr codeName="Sheet63"/>
  <dimension ref="A1:AX26"/>
  <sheetViews>
    <sheetView workbookViewId="0"/>
  </sheetViews>
  <sheetFormatPr defaultRowHeight="14.5" x14ac:dyDescent="0.35"/>
  <cols>
    <col min="1" max="2" width="6" customWidth="1"/>
    <col min="3" max="3" width="3.7265625" customWidth="1"/>
    <col min="4" max="5" width="6" customWidth="1"/>
    <col min="6" max="6" width="4.1796875" customWidth="1"/>
    <col min="7" max="7" width="10.453125" customWidth="1"/>
    <col min="10" max="10" width="3.453125" customWidth="1"/>
    <col min="11" max="11" width="37" customWidth="1"/>
  </cols>
  <sheetData>
    <row r="1" spans="1:50" x14ac:dyDescent="0.35">
      <c r="A1" s="1" t="s">
        <v>0</v>
      </c>
    </row>
    <row r="3" spans="1:50" x14ac:dyDescent="0.35">
      <c r="A3" s="2" t="s">
        <v>1</v>
      </c>
      <c r="B3" s="2"/>
      <c r="D3" s="2" t="s">
        <v>2</v>
      </c>
      <c r="E3" s="2"/>
      <c r="H3" s="3" t="s">
        <v>3</v>
      </c>
      <c r="I3" s="3" t="s">
        <v>4</v>
      </c>
      <c r="M3" t="s">
        <v>5</v>
      </c>
      <c r="X3" t="s">
        <v>6</v>
      </c>
      <c r="AD3" t="s">
        <v>7</v>
      </c>
      <c r="AH3" t="s">
        <v>8</v>
      </c>
      <c r="AL3" t="s">
        <v>9</v>
      </c>
      <c r="AP3" t="s">
        <v>10</v>
      </c>
      <c r="AU3" t="s">
        <v>11</v>
      </c>
    </row>
    <row r="4" spans="1:50" x14ac:dyDescent="0.35">
      <c r="A4" s="3" t="s">
        <v>3</v>
      </c>
      <c r="B4" s="3" t="s">
        <v>4</v>
      </c>
      <c r="D4" s="3" t="s">
        <v>3</v>
      </c>
      <c r="E4" s="3" t="s">
        <v>4</v>
      </c>
      <c r="G4" t="s">
        <v>12</v>
      </c>
      <c r="H4">
        <f>COUNT(A5:A15)</f>
        <v>11</v>
      </c>
      <c r="I4">
        <f>COUNT(B5:B15)</f>
        <v>10</v>
      </c>
      <c r="K4" t="e">
        <f ca="1">FTEXT(H4)</f>
        <v>#NAME?</v>
      </c>
    </row>
    <row r="5" spans="1:50" ht="15" thickBot="1" x14ac:dyDescent="0.4">
      <c r="A5" s="4">
        <v>4</v>
      </c>
      <c r="B5" s="4">
        <v>12</v>
      </c>
      <c r="D5" s="4" t="e">
        <f t="array" aca="1" ref="D5:D15" ca="1">WINSORIZE(A5:A15,0.2)</f>
        <v>#NAME?</v>
      </c>
      <c r="E5" s="4" t="e">
        <f t="array" aca="1" ref="E5:E15" ca="1">WINSORIZE(B5:B15,0.2)</f>
        <v>#NAME?</v>
      </c>
      <c r="G5" t="s">
        <v>13</v>
      </c>
      <c r="H5">
        <f>AVERAGE(A5:A15)</f>
        <v>14.272727272727273</v>
      </c>
      <c r="I5">
        <f>AVERAGE(B5:B15)</f>
        <v>11.1</v>
      </c>
      <c r="K5" t="e">
        <f ca="1">FTEXT(H5)</f>
        <v>#NAME?</v>
      </c>
      <c r="M5" t="s">
        <v>14</v>
      </c>
      <c r="P5" t="s">
        <v>15</v>
      </c>
      <c r="Q5">
        <v>0</v>
      </c>
      <c r="Y5" t="str">
        <f>A4</f>
        <v>New</v>
      </c>
      <c r="Z5" t="str">
        <f>B4</f>
        <v>Old</v>
      </c>
      <c r="AD5" s="6"/>
      <c r="AE5" s="6" t="str">
        <f>A4</f>
        <v>New</v>
      </c>
      <c r="AF5" s="6" t="str">
        <f>B4</f>
        <v>Old</v>
      </c>
      <c r="AI5" s="7" t="str">
        <f>A4</f>
        <v>New</v>
      </c>
      <c r="AJ5" s="7" t="str">
        <f>B4</f>
        <v>Old</v>
      </c>
      <c r="AL5" s="6"/>
      <c r="AM5" s="6" t="str">
        <f>A4</f>
        <v>New</v>
      </c>
      <c r="AN5" s="6" t="str">
        <f>B4</f>
        <v>Old</v>
      </c>
      <c r="AP5" t="s">
        <v>16</v>
      </c>
      <c r="AQ5">
        <f>COUNT(A5:A15)</f>
        <v>11</v>
      </c>
      <c r="AR5">
        <f>2*AQ5</f>
        <v>22</v>
      </c>
      <c r="AU5" t="s">
        <v>16</v>
      </c>
      <c r="AV5">
        <f>COUNT(B5:B15)</f>
        <v>10</v>
      </c>
      <c r="AW5">
        <f>2*AV5</f>
        <v>20</v>
      </c>
    </row>
    <row r="6" spans="1:50" ht="15" thickTop="1" x14ac:dyDescent="0.35">
      <c r="A6" s="4">
        <v>10</v>
      </c>
      <c r="B6" s="4">
        <v>8</v>
      </c>
      <c r="D6" s="4" t="e">
        <f ca="1"/>
        <v>#NAME?</v>
      </c>
      <c r="E6" s="4" t="e">
        <f ca="1"/>
        <v>#NAME?</v>
      </c>
      <c r="G6" t="s">
        <v>17</v>
      </c>
      <c r="H6">
        <f>VAR(A5:A15)</f>
        <v>178.81818181818181</v>
      </c>
      <c r="I6">
        <f>VAR(B5:B15)</f>
        <v>18.766666666666676</v>
      </c>
      <c r="K6" s="8" t="s">
        <v>18</v>
      </c>
      <c r="M6" s="9" t="s">
        <v>19</v>
      </c>
      <c r="N6" s="9" t="s">
        <v>16</v>
      </c>
      <c r="O6" s="9" t="s">
        <v>20</v>
      </c>
      <c r="P6" s="9" t="s">
        <v>21</v>
      </c>
      <c r="Q6" s="9" t="s">
        <v>22</v>
      </c>
      <c r="X6" t="s">
        <v>12</v>
      </c>
      <c r="Y6" s="10">
        <f>COUNT(A5:A15)</f>
        <v>11</v>
      </c>
      <c r="Z6" s="11">
        <f>COUNT(B5:B15)</f>
        <v>10</v>
      </c>
      <c r="AD6" t="s">
        <v>20</v>
      </c>
      <c r="AE6">
        <f>AVERAGE(A5:A15)</f>
        <v>14.272727272727273</v>
      </c>
      <c r="AF6">
        <f>AVERAGE(B5:B15)</f>
        <v>11.1</v>
      </c>
      <c r="AH6" t="s">
        <v>23</v>
      </c>
      <c r="AI6" s="10">
        <f>AI13-$AI20</f>
        <v>2</v>
      </c>
      <c r="AJ6" s="11">
        <f>AJ13-$AI20</f>
        <v>4</v>
      </c>
      <c r="AL6" t="s">
        <v>24</v>
      </c>
      <c r="AM6" t="e">
        <f ca="1">SHAPIRO(A5:A15)</f>
        <v>#NAME?</v>
      </c>
      <c r="AN6" t="e">
        <f ca="1">SHAPIRO(B5:B15)</f>
        <v>#NAME?</v>
      </c>
      <c r="AP6" t="s">
        <v>20</v>
      </c>
      <c r="AQ6">
        <f>AVERAGE(A5:A15)</f>
        <v>14.272727272727273</v>
      </c>
      <c r="AU6" t="s">
        <v>20</v>
      </c>
      <c r="AV6">
        <f>AVERAGE(B5:B15)</f>
        <v>11.1</v>
      </c>
    </row>
    <row r="7" spans="1:50" x14ac:dyDescent="0.35">
      <c r="A7" s="4">
        <v>2</v>
      </c>
      <c r="B7" s="4">
        <v>6</v>
      </c>
      <c r="D7" s="4" t="e">
        <f ca="1"/>
        <v>#NAME?</v>
      </c>
      <c r="E7" s="4" t="e">
        <f ca="1"/>
        <v>#NAME?</v>
      </c>
      <c r="G7" t="s">
        <v>25</v>
      </c>
      <c r="H7">
        <f>H4-INT(0.1*H4)*2</f>
        <v>9</v>
      </c>
      <c r="I7">
        <f>I4-INT(0.1*I4)*2</f>
        <v>8</v>
      </c>
      <c r="K7" t="e">
        <f ca="1">FTEXT(H7)</f>
        <v>#NAME?</v>
      </c>
      <c r="M7" t="str">
        <f>A4</f>
        <v>New</v>
      </c>
      <c r="N7">
        <f>COUNT(A5:A15)</f>
        <v>11</v>
      </c>
      <c r="O7">
        <f>AVERAGE(A5:A15)</f>
        <v>14.272727272727273</v>
      </c>
      <c r="P7">
        <f>VAR(A5:A15)</f>
        <v>178.81818181818181</v>
      </c>
      <c r="X7" t="s">
        <v>26</v>
      </c>
      <c r="Y7" s="12">
        <f>MEDIAN(A5:A15)</f>
        <v>9</v>
      </c>
      <c r="Z7" s="13">
        <f>MEDIAN(B5:B15)</f>
        <v>11.5</v>
      </c>
      <c r="AD7" t="s">
        <v>27</v>
      </c>
      <c r="AE7">
        <f>STDEV(A5:A15)/SQRT(COUNT(A5:A15))</f>
        <v>4.0318976111884881</v>
      </c>
      <c r="AF7">
        <f>STDEV(B5:B15)/SQRT(COUNT(B5:B15))</f>
        <v>1.3699148392023015</v>
      </c>
      <c r="AH7" t="s">
        <v>28</v>
      </c>
      <c r="AI7" s="12">
        <f>AI14-AI13</f>
        <v>4</v>
      </c>
      <c r="AJ7" s="13">
        <f>AJ14-AJ13</f>
        <v>4.5</v>
      </c>
      <c r="AL7" t="s">
        <v>29</v>
      </c>
      <c r="AM7" t="e">
        <f ca="1">SWTEST(A5:A15)</f>
        <v>#NAME?</v>
      </c>
      <c r="AN7" t="e">
        <f ca="1">SWTEST(B5:B15)</f>
        <v>#NAME?</v>
      </c>
      <c r="AP7" t="s">
        <v>30</v>
      </c>
      <c r="AQ7">
        <f>STDEV(A5:A15)</f>
        <v>13.372291569442456</v>
      </c>
      <c r="AU7" t="s">
        <v>30</v>
      </c>
      <c r="AV7">
        <f>STDEV(B5:B15)</f>
        <v>4.3320510923425957</v>
      </c>
    </row>
    <row r="8" spans="1:50" x14ac:dyDescent="0.35">
      <c r="A8" s="4">
        <v>9</v>
      </c>
      <c r="B8" s="4">
        <v>16</v>
      </c>
      <c r="D8" s="4" t="e">
        <f ca="1"/>
        <v>#NAME?</v>
      </c>
      <c r="E8" s="4" t="e">
        <f ca="1"/>
        <v>#NAME?</v>
      </c>
      <c r="G8" t="s">
        <v>31</v>
      </c>
      <c r="H8">
        <f>TRIMMEAN(A5:A15,0.2)</f>
        <v>12.777777777777779</v>
      </c>
      <c r="I8">
        <f>TRIMMEAN(B5:B15,0.2)</f>
        <v>11.125</v>
      </c>
      <c r="K8" t="e">
        <f ca="1">FTEXT(H8)</f>
        <v>#NAME?</v>
      </c>
      <c r="M8" t="str">
        <f>B4</f>
        <v>Old</v>
      </c>
      <c r="N8">
        <f>COUNT(B5:B15)</f>
        <v>10</v>
      </c>
      <c r="O8">
        <f>AVERAGE(B5:B15)</f>
        <v>11.1</v>
      </c>
      <c r="P8">
        <f>VAR(B5:B15)</f>
        <v>18.766666666666676</v>
      </c>
      <c r="X8" t="s">
        <v>32</v>
      </c>
      <c r="Y8" s="12" t="e">
        <f ca="1">RANK_SUM(A5:A15,B5:B15,1)</f>
        <v>#NAME?</v>
      </c>
      <c r="Z8" s="13" t="e">
        <f ca="1">RANK_SUM(B5:B15,A5:A15,1)</f>
        <v>#NAME?</v>
      </c>
      <c r="AD8" t="s">
        <v>33</v>
      </c>
      <c r="AE8">
        <f>MEDIAN(A5:A15)</f>
        <v>9</v>
      </c>
      <c r="AF8">
        <f>MEDIAN(B5:B15)</f>
        <v>11.5</v>
      </c>
      <c r="AH8" t="s">
        <v>34</v>
      </c>
      <c r="AI8" s="12">
        <f t="shared" ref="AI8:AJ10" si="0">AI15-AI14</f>
        <v>3</v>
      </c>
      <c r="AJ8" s="13">
        <f t="shared" si="0"/>
        <v>3</v>
      </c>
      <c r="AL8" t="s">
        <v>35</v>
      </c>
      <c r="AM8">
        <v>0.05</v>
      </c>
      <c r="AN8">
        <v>0.05</v>
      </c>
    </row>
    <row r="9" spans="1:50" x14ac:dyDescent="0.35">
      <c r="A9" s="4">
        <v>5</v>
      </c>
      <c r="B9" s="4">
        <v>12</v>
      </c>
      <c r="D9" s="4" t="e">
        <f ca="1"/>
        <v>#NAME?</v>
      </c>
      <c r="E9" s="4" t="e">
        <f ca="1"/>
        <v>#NAME?</v>
      </c>
      <c r="G9" t="s">
        <v>36</v>
      </c>
      <c r="H9" t="e">
        <f ca="1">VAR(D5:D15)</f>
        <v>#NAME?</v>
      </c>
      <c r="I9" t="e">
        <f ca="1">VAR(E5:E15)</f>
        <v>#NAME?</v>
      </c>
      <c r="K9" s="8" t="s">
        <v>37</v>
      </c>
      <c r="M9" s="14" t="s">
        <v>38</v>
      </c>
      <c r="N9" s="14"/>
      <c r="O9" s="14"/>
      <c r="P9" s="14">
        <f>((N7-1)*P7+(N8-1)*P8)/(N7+N8-2)</f>
        <v>103.00430622009569</v>
      </c>
      <c r="Q9" s="14">
        <f>ABS(O7-O8-Q5)/SQRT(P9)</f>
        <v>0.3126115725867652</v>
      </c>
      <c r="X9" t="s">
        <v>39</v>
      </c>
      <c r="Y9" s="15" t="e">
        <f ca="1">Y6*Z6+Y6*(Y6+1)/2-Y8</f>
        <v>#NAME?</v>
      </c>
      <c r="Z9" s="16" t="e">
        <f ca="1">Y6*Z6+Z6*(Z6+1)/2-Z8</f>
        <v>#NAME?</v>
      </c>
      <c r="AD9" t="s">
        <v>40</v>
      </c>
      <c r="AE9">
        <f>MODE(A5:A15)</f>
        <v>9</v>
      </c>
      <c r="AF9">
        <f>MODE(B5:B15)</f>
        <v>12</v>
      </c>
      <c r="AH9" t="s">
        <v>41</v>
      </c>
      <c r="AI9" s="12">
        <f t="shared" si="0"/>
        <v>10</v>
      </c>
      <c r="AJ9" s="13">
        <f t="shared" si="0"/>
        <v>2</v>
      </c>
      <c r="AL9" s="17" t="s">
        <v>42</v>
      </c>
      <c r="AM9" s="18" t="e">
        <f ca="1">IF(AM7&lt;AM8,"no","yes")</f>
        <v>#NAME?</v>
      </c>
      <c r="AN9" s="18" t="e">
        <f ca="1">IF(AN7&lt;AN8,"no","yes")</f>
        <v>#NAME?</v>
      </c>
      <c r="AP9" t="s">
        <v>43</v>
      </c>
      <c r="AQ9" t="s">
        <v>1</v>
      </c>
      <c r="AR9" t="s">
        <v>44</v>
      </c>
      <c r="AS9" t="s">
        <v>45</v>
      </c>
      <c r="AU9" t="s">
        <v>43</v>
      </c>
      <c r="AV9" t="s">
        <v>1</v>
      </c>
      <c r="AW9" t="s">
        <v>44</v>
      </c>
      <c r="AX9" t="s">
        <v>45</v>
      </c>
    </row>
    <row r="10" spans="1:50" x14ac:dyDescent="0.35">
      <c r="A10" s="4">
        <v>28</v>
      </c>
      <c r="B10" s="4">
        <v>14</v>
      </c>
      <c r="D10" s="4" t="e">
        <f ca="1"/>
        <v>#NAME?</v>
      </c>
      <c r="E10" s="4" t="e">
        <f ca="1"/>
        <v>#NAME?</v>
      </c>
      <c r="G10" t="s">
        <v>46</v>
      </c>
      <c r="H10" s="17" t="e">
        <f ca="1">H9*(H4-1)/(H7*(H7-1))</f>
        <v>#NAME?</v>
      </c>
      <c r="I10" s="17" t="e">
        <f ca="1">I9*(I4-1)/(I7*(I7-1))</f>
        <v>#NAME?</v>
      </c>
      <c r="K10" t="e">
        <f ca="1">FTEXT(H10)</f>
        <v>#NAME?</v>
      </c>
      <c r="AD10" t="s">
        <v>47</v>
      </c>
      <c r="AE10">
        <f>STDEV(A5:A15)</f>
        <v>13.372291569442456</v>
      </c>
      <c r="AF10">
        <f>STDEV(B5:B15)</f>
        <v>4.3320510923425957</v>
      </c>
      <c r="AH10" t="s">
        <v>48</v>
      </c>
      <c r="AI10" s="12">
        <f t="shared" si="0"/>
        <v>16</v>
      </c>
      <c r="AJ10" s="13">
        <f t="shared" si="0"/>
        <v>4.5</v>
      </c>
      <c r="AP10">
        <v>1</v>
      </c>
      <c r="AQ10" t="e">
        <f t="array" aca="1" ref="AQ10:AQ20" ca="1">QSORT(A5:A15)</f>
        <v>#NAME?</v>
      </c>
      <c r="AR10">
        <f>NORMSINV(AP10/AR$5)</f>
        <v>-1.6906216295848977</v>
      </c>
      <c r="AS10" t="e">
        <f ca="1">STANDARDIZE(AQ10,AQ$6,AQ$7)</f>
        <v>#NAME?</v>
      </c>
      <c r="AU10">
        <v>1</v>
      </c>
      <c r="AV10" t="e">
        <f t="array" aca="1" ref="AV10:AV19" ca="1">QSORT(B5:B15)</f>
        <v>#NAME?</v>
      </c>
      <c r="AW10">
        <f>NORMSINV(AU10/AW$5)</f>
        <v>-1.6448536269514726</v>
      </c>
      <c r="AX10" t="e">
        <f ca="1">STANDARDIZE(AV10,AV$6,AV$7)</f>
        <v>#NAME?</v>
      </c>
    </row>
    <row r="11" spans="1:50" ht="15" thickBot="1" x14ac:dyDescent="0.4">
      <c r="A11" s="4">
        <v>8</v>
      </c>
      <c r="B11" s="4">
        <v>10</v>
      </c>
      <c r="D11" s="4" t="e">
        <f ca="1"/>
        <v>#NAME?</v>
      </c>
      <c r="E11" s="4" t="e">
        <f ca="1"/>
        <v>#NAME?</v>
      </c>
      <c r="K11" t="e">
        <f ca="1">FTEXT(H11)</f>
        <v>#NAME?</v>
      </c>
      <c r="M11" t="s">
        <v>49</v>
      </c>
      <c r="Q11" t="s">
        <v>50</v>
      </c>
      <c r="R11">
        <v>0.05</v>
      </c>
      <c r="Y11" s="19" t="s">
        <v>51</v>
      </c>
      <c r="Z11" s="19" t="s">
        <v>52</v>
      </c>
      <c r="AD11" t="s">
        <v>53</v>
      </c>
      <c r="AE11">
        <f>VAR(A5:A15)</f>
        <v>178.81818181818181</v>
      </c>
      <c r="AF11">
        <f>VAR(B5:B15)</f>
        <v>18.766666666666676</v>
      </c>
      <c r="AH11" t="s">
        <v>20</v>
      </c>
      <c r="AI11" s="15">
        <f>AI18-$AI20</f>
        <v>14.272727272727273</v>
      </c>
      <c r="AJ11" s="16">
        <f>AJ18-$AI20</f>
        <v>11.1</v>
      </c>
      <c r="AL11" t="s">
        <v>54</v>
      </c>
      <c r="AP11">
        <f>AP10+2</f>
        <v>3</v>
      </c>
      <c r="AQ11" t="e">
        <f ca="1"/>
        <v>#NAME?</v>
      </c>
      <c r="AR11">
        <f t="shared" ref="AR11:AR20" si="1">NORMSINV(AP11/AR$5)</f>
        <v>-1.096803562093513</v>
      </c>
      <c r="AS11" t="e">
        <f t="shared" ref="AS11:AS20" ca="1" si="2">STANDARDIZE(AQ11,AQ$6,AQ$7)</f>
        <v>#NAME?</v>
      </c>
      <c r="AU11">
        <f>AU10+2</f>
        <v>3</v>
      </c>
      <c r="AV11" t="e">
        <f ca="1"/>
        <v>#NAME?</v>
      </c>
      <c r="AW11">
        <f t="shared" ref="AW11:AW19" si="3">NORMSINV(AU11/AW$5)</f>
        <v>-1.0364333894937898</v>
      </c>
      <c r="AX11" t="e">
        <f t="shared" ref="AX11:AX19" ca="1" si="4">STANDARDIZE(AV11,AV$6,AV$7)</f>
        <v>#NAME?</v>
      </c>
    </row>
    <row r="12" spans="1:50" ht="15" thickTop="1" x14ac:dyDescent="0.35">
      <c r="A12" s="4">
        <v>7</v>
      </c>
      <c r="B12" s="4">
        <v>18</v>
      </c>
      <c r="D12" s="4" t="e">
        <f ca="1"/>
        <v>#NAME?</v>
      </c>
      <c r="E12" s="4" t="e">
        <f ca="1"/>
        <v>#NAME?</v>
      </c>
      <c r="G12" t="s">
        <v>55</v>
      </c>
      <c r="H12" s="20">
        <f>H8-I8</f>
        <v>1.6527777777777786</v>
      </c>
      <c r="K12" t="e">
        <f ca="1">FTEXT(H12)</f>
        <v>#NAME?</v>
      </c>
      <c r="M12" s="9" t="s">
        <v>56</v>
      </c>
      <c r="N12" s="9" t="s">
        <v>57</v>
      </c>
      <c r="O12" s="9" t="s">
        <v>58</v>
      </c>
      <c r="P12" s="9" t="s">
        <v>59</v>
      </c>
      <c r="Q12" s="9" t="s">
        <v>29</v>
      </c>
      <c r="R12" s="9" t="s">
        <v>60</v>
      </c>
      <c r="S12" s="9" t="s">
        <v>61</v>
      </c>
      <c r="T12" s="9" t="s">
        <v>62</v>
      </c>
      <c r="U12" s="9" t="s">
        <v>63</v>
      </c>
      <c r="V12" s="9" t="s">
        <v>64</v>
      </c>
      <c r="X12" t="s">
        <v>35</v>
      </c>
      <c r="Y12" s="21">
        <v>0.05</v>
      </c>
      <c r="AD12" t="s">
        <v>65</v>
      </c>
      <c r="AE12">
        <f>KURT(A5:A15)</f>
        <v>-0.12098375957061958</v>
      </c>
      <c r="AF12">
        <f>KURT(B5:B15)</f>
        <v>-0.48052017705201688</v>
      </c>
      <c r="AP12">
        <f t="shared" ref="AP12:AP20" si="5">AP11+2</f>
        <v>5</v>
      </c>
      <c r="AQ12" t="e">
        <f ca="1"/>
        <v>#NAME?</v>
      </c>
      <c r="AR12">
        <f t="shared" si="1"/>
        <v>-0.74785859476330196</v>
      </c>
      <c r="AS12" t="e">
        <f t="shared" ca="1" si="2"/>
        <v>#NAME?</v>
      </c>
      <c r="AU12">
        <f t="shared" ref="AU12:AU19" si="6">AU11+2</f>
        <v>5</v>
      </c>
      <c r="AV12" t="e">
        <f ca="1"/>
        <v>#NAME?</v>
      </c>
      <c r="AW12">
        <f t="shared" si="3"/>
        <v>-0.67448975019608193</v>
      </c>
      <c r="AX12" t="e">
        <f t="shared" ca="1" si="4"/>
        <v>#NAME?</v>
      </c>
    </row>
    <row r="13" spans="1:50" x14ac:dyDescent="0.35">
      <c r="A13" s="4">
        <v>9</v>
      </c>
      <c r="B13" s="4">
        <v>4</v>
      </c>
      <c r="D13" s="4" t="e">
        <f ca="1"/>
        <v>#NAME?</v>
      </c>
      <c r="E13" s="4" t="e">
        <f ca="1"/>
        <v>#NAME?</v>
      </c>
      <c r="G13" t="s">
        <v>66</v>
      </c>
      <c r="H13" s="22" t="e">
        <f ca="1">SQRT(H10+I10)</f>
        <v>#NAME?</v>
      </c>
      <c r="K13" t="e">
        <f ca="1">FTEXT(H13)</f>
        <v>#NAME?</v>
      </c>
      <c r="M13" t="s">
        <v>67</v>
      </c>
      <c r="N13">
        <f>SQRT(P9*(1/N7+1/N8))</f>
        <v>4.4344625897847063</v>
      </c>
      <c r="O13">
        <f>(ABS(O7-O8-Q5))/N13</f>
        <v>0.71547052398999045</v>
      </c>
      <c r="P13">
        <f>N7+N8-2</f>
        <v>19</v>
      </c>
      <c r="Q13">
        <f>TDIST(O13,P13,1)</f>
        <v>0.24150942082350724</v>
      </c>
      <c r="R13">
        <f>TINV(R11*2,P13)</f>
        <v>1.7291328115213698</v>
      </c>
      <c r="U13" s="4" t="str">
        <f>IF(Q13&lt;R11,"yes","no")</f>
        <v>no</v>
      </c>
      <c r="V13">
        <f>SQRT(O13^2/(O13^2+P13))</f>
        <v>0.16197276167422758</v>
      </c>
      <c r="X13" t="s">
        <v>39</v>
      </c>
      <c r="Y13" s="23" t="e">
        <f ca="1">MIN(Y9,Z9)</f>
        <v>#NAME?</v>
      </c>
      <c r="AD13" t="s">
        <v>68</v>
      </c>
      <c r="AE13">
        <f>SKEW(A5:A15)</f>
        <v>1.2158652977210749</v>
      </c>
      <c r="AF13">
        <f>SKEW(B5:B15)</f>
        <v>-8.4872770786567103E-2</v>
      </c>
      <c r="AH13" t="s">
        <v>23</v>
      </c>
      <c r="AI13" s="10">
        <f t="array" ref="AI13">MIN(IF(A5:A15&gt;=AI14-3*(AI16-AI14)/2,A5:A15,""))</f>
        <v>2</v>
      </c>
      <c r="AJ13" s="11">
        <f t="array" ref="AJ13">MIN(IF(B5:B15&gt;=AJ14-3*(AJ16-AJ14)/2,B5:B15,""))</f>
        <v>4</v>
      </c>
      <c r="AL13" s="14" t="s">
        <v>69</v>
      </c>
      <c r="AM13" s="14" t="e">
        <f ca="1">DAGOSTINO(A5:A15)</f>
        <v>#NAME?</v>
      </c>
      <c r="AN13" s="14" t="e">
        <f ca="1">DAGOSTINO(B5:B15)</f>
        <v>#NAME?</v>
      </c>
      <c r="AP13">
        <f t="shared" si="5"/>
        <v>7</v>
      </c>
      <c r="AQ13" t="e">
        <f ca="1"/>
        <v>#NAME?</v>
      </c>
      <c r="AR13">
        <f t="shared" si="1"/>
        <v>-0.47278912099226744</v>
      </c>
      <c r="AS13" t="e">
        <f t="shared" ca="1" si="2"/>
        <v>#NAME?</v>
      </c>
      <c r="AU13">
        <f t="shared" si="6"/>
        <v>7</v>
      </c>
      <c r="AV13" t="e">
        <f ca="1"/>
        <v>#NAME?</v>
      </c>
      <c r="AW13">
        <f t="shared" si="3"/>
        <v>-0.38532046640756784</v>
      </c>
      <c r="AX13" t="e">
        <f t="shared" ca="1" si="4"/>
        <v>#NAME?</v>
      </c>
    </row>
    <row r="14" spans="1:50" x14ac:dyDescent="0.35">
      <c r="A14" s="4">
        <v>35</v>
      </c>
      <c r="B14" s="4">
        <v>11</v>
      </c>
      <c r="D14" s="4" t="e">
        <f ca="1"/>
        <v>#NAME?</v>
      </c>
      <c r="E14" s="4" t="e">
        <f ca="1"/>
        <v>#NAME?</v>
      </c>
      <c r="G14" t="s">
        <v>58</v>
      </c>
      <c r="H14" s="22" t="e">
        <f ca="1">H12/H13</f>
        <v>#NAME?</v>
      </c>
      <c r="K14" t="e">
        <f ca="1">FTEXT(H14)</f>
        <v>#NAME?</v>
      </c>
      <c r="M14" t="s">
        <v>70</v>
      </c>
      <c r="N14">
        <f>N13</f>
        <v>4.4344625897847063</v>
      </c>
      <c r="O14">
        <f>O13</f>
        <v>0.71547052398999045</v>
      </c>
      <c r="P14">
        <f>P13</f>
        <v>19</v>
      </c>
      <c r="Q14">
        <f>TDIST(O14,P14,2)</f>
        <v>0.48301884164701447</v>
      </c>
      <c r="R14">
        <f>TINV(R11,P14)</f>
        <v>2.0930240544083096</v>
      </c>
      <c r="S14">
        <f>(O7-O8)-R14*N14</f>
        <v>-6.1087095960658857</v>
      </c>
      <c r="T14">
        <f>(O7-O8)+R14*N14</f>
        <v>12.454164141520433</v>
      </c>
      <c r="U14" s="4" t="str">
        <f>IF(Q14&lt;R11,"yes","no")</f>
        <v>no</v>
      </c>
      <c r="V14">
        <f>V13</f>
        <v>0.16197276167422758</v>
      </c>
      <c r="X14" t="s">
        <v>13</v>
      </c>
      <c r="Y14" s="23">
        <f>Y6*Z6/2</f>
        <v>55</v>
      </c>
      <c r="AD14" t="s">
        <v>71</v>
      </c>
      <c r="AE14">
        <f>AE15-AE16</f>
        <v>38</v>
      </c>
      <c r="AF14">
        <f>AF15-AF16</f>
        <v>14</v>
      </c>
      <c r="AH14" t="s">
        <v>72</v>
      </c>
      <c r="AI14" s="12">
        <f>QUARTILE(A5:A15,1)</f>
        <v>6</v>
      </c>
      <c r="AJ14" s="13">
        <f>QUARTILE(B5:B15,1)</f>
        <v>8.5</v>
      </c>
      <c r="AL14" t="s">
        <v>29</v>
      </c>
      <c r="AM14" t="e">
        <f ca="1">DPTEST(A5:A15)</f>
        <v>#NAME?</v>
      </c>
      <c r="AN14" t="e">
        <f ca="1">DPTEST(B5:B15)</f>
        <v>#NAME?</v>
      </c>
      <c r="AP14">
        <f t="shared" si="5"/>
        <v>9</v>
      </c>
      <c r="AQ14" t="e">
        <f ca="1"/>
        <v>#NAME?</v>
      </c>
      <c r="AR14">
        <f t="shared" si="1"/>
        <v>-0.22988411757923208</v>
      </c>
      <c r="AS14" t="e">
        <f t="shared" ca="1" si="2"/>
        <v>#NAME?</v>
      </c>
      <c r="AU14">
        <f t="shared" si="6"/>
        <v>9</v>
      </c>
      <c r="AV14" t="e">
        <f ca="1"/>
        <v>#NAME?</v>
      </c>
      <c r="AW14">
        <f t="shared" si="3"/>
        <v>-0.12566134685507402</v>
      </c>
      <c r="AX14" t="e">
        <f t="shared" ca="1" si="4"/>
        <v>#NAME?</v>
      </c>
    </row>
    <row r="15" spans="1:50" x14ac:dyDescent="0.35">
      <c r="A15" s="5">
        <v>40</v>
      </c>
      <c r="B15" s="5"/>
      <c r="D15" s="5" t="e">
        <f ca="1"/>
        <v>#NAME?</v>
      </c>
      <c r="E15" s="5" t="e">
        <f ca="1"/>
        <v>#NAME?</v>
      </c>
      <c r="G15" t="s">
        <v>59</v>
      </c>
      <c r="H15" s="22" t="e">
        <f ca="1">(H10+I10)^2/(H10^2/(H7-1)+I10^2/(I7-1))</f>
        <v>#NAME?</v>
      </c>
      <c r="K15" t="e">
        <f ca="1">FTEXT(H15)</f>
        <v>#NAME?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X15" t="s">
        <v>73</v>
      </c>
      <c r="Y15" s="23" t="e">
        <f ca="1">SQRT(Y14*(Y6+Z6+1)/6*(1-TiesCorrection(A5:A15,B5:B15,2)/((Y6+Z6)^3-Y6-Z6)))</f>
        <v>#NAME?</v>
      </c>
      <c r="Z15" t="s">
        <v>74</v>
      </c>
      <c r="AD15" t="s">
        <v>75</v>
      </c>
      <c r="AE15">
        <f>MAX(A5:A15)</f>
        <v>40</v>
      </c>
      <c r="AF15">
        <f>MAX(B5:B15)</f>
        <v>18</v>
      </c>
      <c r="AH15" t="s">
        <v>33</v>
      </c>
      <c r="AI15" s="12">
        <f>MEDIAN(A5:A15)</f>
        <v>9</v>
      </c>
      <c r="AJ15" s="13">
        <f>MEDIAN(B5:B15)</f>
        <v>11.5</v>
      </c>
      <c r="AL15" t="s">
        <v>35</v>
      </c>
      <c r="AM15">
        <v>0.05</v>
      </c>
      <c r="AN15">
        <v>0.05</v>
      </c>
      <c r="AP15">
        <f t="shared" si="5"/>
        <v>11</v>
      </c>
      <c r="AQ15" t="e">
        <f ca="1"/>
        <v>#NAME?</v>
      </c>
      <c r="AR15">
        <f t="shared" si="1"/>
        <v>0</v>
      </c>
      <c r="AS15" t="e">
        <f t="shared" ca="1" si="2"/>
        <v>#NAME?</v>
      </c>
      <c r="AU15">
        <f t="shared" si="6"/>
        <v>11</v>
      </c>
      <c r="AV15" t="e">
        <f ca="1"/>
        <v>#NAME?</v>
      </c>
      <c r="AW15">
        <f t="shared" si="3"/>
        <v>0.12566134685507416</v>
      </c>
      <c r="AX15" t="e">
        <f t="shared" ca="1" si="4"/>
        <v>#NAME?</v>
      </c>
    </row>
    <row r="16" spans="1:50" ht="15" thickBot="1" x14ac:dyDescent="0.4">
      <c r="G16" t="s">
        <v>29</v>
      </c>
      <c r="H16" s="24" t="e">
        <f ca="1">TDIST(ABS(H14),H15,2)</f>
        <v>#NAME?</v>
      </c>
      <c r="K16" s="8" t="s">
        <v>76</v>
      </c>
      <c r="M16" t="s">
        <v>77</v>
      </c>
      <c r="Q16" t="s">
        <v>50</v>
      </c>
      <c r="R16">
        <f>R11</f>
        <v>0.05</v>
      </c>
      <c r="X16" t="s">
        <v>78</v>
      </c>
      <c r="Y16" s="23" t="e">
        <f ca="1">ABS(STANDARDIZE(Y13,Y14,Y15))</f>
        <v>#NAME?</v>
      </c>
      <c r="AD16" t="s">
        <v>79</v>
      </c>
      <c r="AE16">
        <f>MIN(A5:A15)</f>
        <v>2</v>
      </c>
      <c r="AF16">
        <f>MIN(B5:B15)</f>
        <v>4</v>
      </c>
      <c r="AH16" t="s">
        <v>80</v>
      </c>
      <c r="AI16" s="12">
        <f>QUARTILE(A5:A15,3)</f>
        <v>19</v>
      </c>
      <c r="AJ16" s="13">
        <f>QUARTILE(B5:B15,3)</f>
        <v>13.5</v>
      </c>
      <c r="AL16" s="17" t="s">
        <v>42</v>
      </c>
      <c r="AM16" s="18" t="e">
        <f ca="1">IF(AM14&lt;AM15,"no","yes")</f>
        <v>#NAME?</v>
      </c>
      <c r="AN16" s="18" t="e">
        <f ca="1">IF(AN14&lt;AN15,"no","yes")</f>
        <v>#NAME?</v>
      </c>
      <c r="AP16">
        <f t="shared" si="5"/>
        <v>13</v>
      </c>
      <c r="AQ16" t="e">
        <f ca="1"/>
        <v>#NAME?</v>
      </c>
      <c r="AR16">
        <f t="shared" si="1"/>
        <v>0.22988411757923222</v>
      </c>
      <c r="AS16" t="e">
        <f t="shared" ca="1" si="2"/>
        <v>#NAME?</v>
      </c>
      <c r="AU16">
        <f t="shared" si="6"/>
        <v>13</v>
      </c>
      <c r="AV16" t="e">
        <f ca="1"/>
        <v>#NAME?</v>
      </c>
      <c r="AW16">
        <f t="shared" si="3"/>
        <v>0.38532046640756784</v>
      </c>
      <c r="AX16" t="e">
        <f t="shared" ca="1" si="4"/>
        <v>#NAME?</v>
      </c>
    </row>
    <row r="17" spans="7:50" ht="15" thickTop="1" x14ac:dyDescent="0.35">
      <c r="M17" s="9" t="s">
        <v>56</v>
      </c>
      <c r="N17" s="9" t="s">
        <v>57</v>
      </c>
      <c r="O17" s="9" t="s">
        <v>58</v>
      </c>
      <c r="P17" s="9" t="s">
        <v>59</v>
      </c>
      <c r="Q17" s="9" t="s">
        <v>29</v>
      </c>
      <c r="R17" s="9" t="s">
        <v>60</v>
      </c>
      <c r="S17" s="9" t="s">
        <v>61</v>
      </c>
      <c r="T17" s="9" t="s">
        <v>62</v>
      </c>
      <c r="U17" s="9" t="s">
        <v>63</v>
      </c>
      <c r="V17" s="9" t="s">
        <v>64</v>
      </c>
      <c r="X17" t="s">
        <v>64</v>
      </c>
      <c r="Y17" s="23" t="e">
        <f ca="1">Y16/SQRT(Y6+Z6)</f>
        <v>#NAME?</v>
      </c>
      <c r="AD17" t="s">
        <v>81</v>
      </c>
      <c r="AE17">
        <f>SUM(A5:A15)</f>
        <v>157</v>
      </c>
      <c r="AF17">
        <f>SUM(B5:B15)</f>
        <v>111</v>
      </c>
      <c r="AH17" t="s">
        <v>82</v>
      </c>
      <c r="AI17" s="12">
        <f t="array" ref="AI17">MAX(IF(A5:A15&lt;=AI16+3*(AI16-AI14)/2,A5:A15,""))</f>
        <v>35</v>
      </c>
      <c r="AJ17" s="13">
        <f t="array" ref="AJ17">MAX(IF(B5:B15&lt;=AJ16+3*(AJ16-AJ14)/2,B5:B15,""))</f>
        <v>18</v>
      </c>
      <c r="AP17">
        <f t="shared" si="5"/>
        <v>15</v>
      </c>
      <c r="AQ17" t="e">
        <f ca="1"/>
        <v>#NAME?</v>
      </c>
      <c r="AR17">
        <f t="shared" si="1"/>
        <v>0.47278912099226728</v>
      </c>
      <c r="AS17" t="e">
        <f t="shared" ca="1" si="2"/>
        <v>#NAME?</v>
      </c>
      <c r="AU17">
        <f t="shared" si="6"/>
        <v>15</v>
      </c>
      <c r="AV17" t="e">
        <f ca="1"/>
        <v>#NAME?</v>
      </c>
      <c r="AW17">
        <f t="shared" si="3"/>
        <v>0.67448975019608193</v>
      </c>
      <c r="AX17" t="e">
        <f t="shared" ca="1" si="4"/>
        <v>#NAME?</v>
      </c>
    </row>
    <row r="18" spans="7:50" x14ac:dyDescent="0.35">
      <c r="G18" t="e">
        <f t="array" aca="1" ref="G18:H20" ca="1">YUENTEST(A5:A15,B5:B15,TRUE)</f>
        <v>#NAME?</v>
      </c>
      <c r="H18" s="20" t="e">
        <f ca="1"/>
        <v>#NAME?</v>
      </c>
      <c r="K18" t="e">
        <f ca="1">FTEXT(H18)</f>
        <v>#NAME?</v>
      </c>
      <c r="M18" t="s">
        <v>67</v>
      </c>
      <c r="N18">
        <f>SQRT(P7/N7+P8/N8)</f>
        <v>4.2582701903207258</v>
      </c>
      <c r="O18">
        <f>(ABS(O7-O8-Q5))/N18</f>
        <v>0.74507420406038383</v>
      </c>
      <c r="P18">
        <f>(P7/N7+P8/N8)^2/((P7/N7)^2/(N7-1)+(P8/N8)^2/(N8-1))</f>
        <v>12.260580518893244</v>
      </c>
      <c r="Q18" t="e">
        <f ca="1">T_DIST_RT(O18,P18)</f>
        <v>#NAME?</v>
      </c>
      <c r="R18" t="e">
        <f ca="1">T_INV(1-R16,P18)</f>
        <v>#NAME?</v>
      </c>
      <c r="U18" s="4" t="e">
        <f ca="1">IF(Q18&lt;R16,"yes","no")</f>
        <v>#NAME?</v>
      </c>
      <c r="V18">
        <f>SQRT(O18^2/(O18^2+P18))</f>
        <v>0.20812683917951183</v>
      </c>
      <c r="X18" t="s">
        <v>83</v>
      </c>
      <c r="Y18" s="21" t="e">
        <f ca="1">Y14+Y15*NORMSINV(Y12)</f>
        <v>#NAME?</v>
      </c>
      <c r="Z18" s="11" t="e">
        <f ca="1">Y14+Y15*NORMSINV(Y12/2)</f>
        <v>#NAME?</v>
      </c>
      <c r="AD18" t="s">
        <v>16</v>
      </c>
      <c r="AE18">
        <f>COUNT(A5:A15)</f>
        <v>11</v>
      </c>
      <c r="AF18">
        <f>COUNT(B5:B15)</f>
        <v>10</v>
      </c>
      <c r="AH18" t="s">
        <v>20</v>
      </c>
      <c r="AI18" s="15">
        <f>AVERAGE(A5:A15)</f>
        <v>14.272727272727273</v>
      </c>
      <c r="AJ18" s="16">
        <f>AVERAGE(B5:B15)</f>
        <v>11.1</v>
      </c>
      <c r="AP18">
        <f t="shared" si="5"/>
        <v>17</v>
      </c>
      <c r="AQ18" t="e">
        <f ca="1"/>
        <v>#NAME?</v>
      </c>
      <c r="AR18">
        <f t="shared" si="1"/>
        <v>0.74785859476330196</v>
      </c>
      <c r="AS18" t="e">
        <f t="shared" ca="1" si="2"/>
        <v>#NAME?</v>
      </c>
      <c r="AU18">
        <f t="shared" si="6"/>
        <v>17</v>
      </c>
      <c r="AV18" t="e">
        <f ca="1"/>
        <v>#NAME?</v>
      </c>
      <c r="AW18">
        <f t="shared" si="3"/>
        <v>1.0364333894937898</v>
      </c>
      <c r="AX18" t="e">
        <f t="shared" ca="1" si="4"/>
        <v>#NAME?</v>
      </c>
    </row>
    <row r="19" spans="7:50" x14ac:dyDescent="0.35">
      <c r="G19" t="e">
        <f ca="1"/>
        <v>#NAME?</v>
      </c>
      <c r="H19" s="22" t="e">
        <f ca="1"/>
        <v>#NAME?</v>
      </c>
      <c r="M19" t="s">
        <v>70</v>
      </c>
      <c r="N19">
        <f>N18</f>
        <v>4.2582701903207258</v>
      </c>
      <c r="O19">
        <f>O18</f>
        <v>0.74507420406038383</v>
      </c>
      <c r="P19">
        <f>P18</f>
        <v>12.260580518893244</v>
      </c>
      <c r="Q19" t="e">
        <f ca="1">T_DIST_2T(O19,P19)</f>
        <v>#NAME?</v>
      </c>
      <c r="R19" t="e">
        <f ca="1">T_INV_2T(R16,P19)</f>
        <v>#NAME?</v>
      </c>
      <c r="S19" t="e">
        <f ca="1">(O7-O8)-R19*N19</f>
        <v>#NAME?</v>
      </c>
      <c r="T19" t="e">
        <f ca="1">(O7-O8)+R19*N19</f>
        <v>#NAME?</v>
      </c>
      <c r="U19" s="4" t="e">
        <f ca="1">IF(Q19&lt;R16,"yes","no")</f>
        <v>#NAME?</v>
      </c>
      <c r="V19">
        <f>V18</f>
        <v>0.20812683917951183</v>
      </c>
      <c r="X19" t="s">
        <v>29</v>
      </c>
      <c r="Y19" s="23" t="e">
        <f ca="1">1-NORMSDIST(Y16)</f>
        <v>#NAME?</v>
      </c>
      <c r="Z19" s="13" t="e">
        <f ca="1">2*Y19</f>
        <v>#NAME?</v>
      </c>
      <c r="AD19" t="s">
        <v>84</v>
      </c>
      <c r="AE19">
        <f>GEOMEAN(A5:A15)</f>
        <v>9.6949861120576113</v>
      </c>
      <c r="AF19">
        <f>GEOMEAN(B5:B15)</f>
        <v>10.206050030679263</v>
      </c>
      <c r="AP19">
        <f t="shared" si="5"/>
        <v>19</v>
      </c>
      <c r="AQ19" t="e">
        <f ca="1"/>
        <v>#NAME?</v>
      </c>
      <c r="AR19">
        <f t="shared" si="1"/>
        <v>1.096803562093513</v>
      </c>
      <c r="AS19" t="e">
        <f t="shared" ca="1" si="2"/>
        <v>#NAME?</v>
      </c>
      <c r="AU19">
        <f t="shared" si="6"/>
        <v>19</v>
      </c>
      <c r="AV19" t="e">
        <f ca="1"/>
        <v>#NAME?</v>
      </c>
      <c r="AW19">
        <f t="shared" si="3"/>
        <v>1.6448536269514715</v>
      </c>
      <c r="AX19" t="e">
        <f t="shared" ca="1" si="4"/>
        <v>#NAME?</v>
      </c>
    </row>
    <row r="20" spans="7:50" x14ac:dyDescent="0.35">
      <c r="G20" t="e">
        <f ca="1"/>
        <v>#NAME?</v>
      </c>
      <c r="H20" s="24" t="e">
        <f ca="1"/>
        <v>#NAME?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X20" t="s">
        <v>85</v>
      </c>
      <c r="Y20" s="25" t="e">
        <f ca="1">IF(Y19&lt;Y12,"yes","no")</f>
        <v>#NAME?</v>
      </c>
      <c r="Z20" s="26" t="e">
        <f ca="1">IF(Z19&lt;Y12,"yes","no")</f>
        <v>#NAME?</v>
      </c>
      <c r="AD20" t="s">
        <v>86</v>
      </c>
      <c r="AE20">
        <f>HARMEAN(A5:A15)</f>
        <v>6.7510959571358997</v>
      </c>
      <c r="AF20">
        <f>HARMEAN(B5:B15)</f>
        <v>9.1850428270846098</v>
      </c>
      <c r="AH20" t="s">
        <v>87</v>
      </c>
      <c r="AI20" s="27">
        <f>IF(MIN(AI13:AJ13)&gt;=0,0,MIN(AI13:AJ13))</f>
        <v>0</v>
      </c>
      <c r="AP20">
        <f t="shared" si="5"/>
        <v>21</v>
      </c>
      <c r="AQ20" t="e">
        <f ca="1"/>
        <v>#NAME?</v>
      </c>
      <c r="AR20">
        <f t="shared" si="1"/>
        <v>1.6906216295848984</v>
      </c>
      <c r="AS20" t="e">
        <f t="shared" ca="1" si="2"/>
        <v>#NAME?</v>
      </c>
    </row>
    <row r="21" spans="7:50" x14ac:dyDescent="0.35">
      <c r="AD21" t="s">
        <v>88</v>
      </c>
      <c r="AE21">
        <f>AVEDEV(A5:A15)</f>
        <v>10.942148760330577</v>
      </c>
      <c r="AF21">
        <f>AVEDEV(B5:B15)</f>
        <v>3.3</v>
      </c>
    </row>
    <row r="22" spans="7:50" x14ac:dyDescent="0.35">
      <c r="X22" t="s">
        <v>83</v>
      </c>
      <c r="Y22" s="21" t="e">
        <f ca="1">MCRIT(Y6,Z6,Y12,1)</f>
        <v>#NAME?</v>
      </c>
      <c r="Z22" s="21" t="e">
        <f ca="1">MCRIT(Y6,Z6,Y12,2)</f>
        <v>#NAME?</v>
      </c>
      <c r="AD22" t="s">
        <v>89</v>
      </c>
      <c r="AE22" t="e">
        <f ca="1">MAD(A5:A15)</f>
        <v>#NAME?</v>
      </c>
      <c r="AF22" t="e">
        <f ca="1">MAD(B5:B15)</f>
        <v>#NAME?</v>
      </c>
    </row>
    <row r="23" spans="7:50" x14ac:dyDescent="0.35">
      <c r="X23" t="s">
        <v>90</v>
      </c>
      <c r="Y23" s="25" t="str">
        <f ca="1">IF(ISNUMBER(Y22),IF(Y13&lt;Y22,"yes","no"),"no")</f>
        <v>no</v>
      </c>
      <c r="Z23" s="25" t="str">
        <f ca="1">IF(ISNUMBER(Z22),IF(Y13&lt;Z22,"yes","no"),"no")</f>
        <v>no</v>
      </c>
      <c r="AD23" s="17" t="s">
        <v>91</v>
      </c>
      <c r="AE23" s="17" t="e">
        <f ca="1">IQR(A5:A15,FALSE)</f>
        <v>#NAME?</v>
      </c>
      <c r="AF23" s="17" t="e">
        <f ca="1">IQR(B5:B15,FALSE)</f>
        <v>#NAME?</v>
      </c>
    </row>
    <row r="25" spans="7:50" x14ac:dyDescent="0.35">
      <c r="X25" t="s">
        <v>29</v>
      </c>
      <c r="Y25" s="21" t="e">
        <f ca="1">MANN_EXACT(A5:A15,B5:B15,1)</f>
        <v>#NAME?</v>
      </c>
      <c r="Z25" s="21" t="e">
        <f ca="1">2*Y25</f>
        <v>#NAME?</v>
      </c>
    </row>
    <row r="26" spans="7:50" x14ac:dyDescent="0.35">
      <c r="X26" t="s">
        <v>92</v>
      </c>
      <c r="Y26" s="25" t="e">
        <f ca="1">IF(Y25&lt;Y12,"yes","no")</f>
        <v>#NAME?</v>
      </c>
      <c r="Z26" s="25" t="e">
        <f ca="1">IF(Z25&lt;Y12,"yes","no")</f>
        <v>#NAME?</v>
      </c>
    </row>
  </sheetData>
  <mergeCells count="2">
    <mergeCell ref="A3:B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Yuen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2026-01-04T11:30:00Z</dcterms:created>
  <dcterms:modified xsi:type="dcterms:W3CDTF">2026-01-04T11:32:48Z</dcterms:modified>
</cp:coreProperties>
</file>