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14_{8D6C11E0-994F-4BC9-9F0E-13B55B51D4FC}" xr6:coauthVersionLast="47" xr6:coauthVersionMax="47" xr10:uidLastSave="{00000000-0000-0000-0000-000000000000}"/>
  <bookViews>
    <workbookView xWindow="-110" yWindow="-110" windowWidth="19420" windowHeight="10300" xr2:uid="{66BF206C-6A21-4E3A-8621-3F2BC0A92529}"/>
  </bookViews>
  <sheets>
    <sheet name="Title" sheetId="5" r:id="rId1"/>
    <sheet name="Ex 1" sheetId="1" r:id="rId2"/>
    <sheet name="Ex 2" sheetId="2" r:id="rId3"/>
    <sheet name="Ex 3" sheetId="3" r:id="rId4"/>
    <sheet name="Ex 4" sheetId="4" r:id="rId5"/>
  </sheets>
  <externalReferences>
    <externalReference r:id="rId6"/>
    <externalReference r:id="rId7"/>
    <externalReference r:id="rId8"/>
  </externalReferences>
  <definedNames>
    <definedName name="r_0">[2]Sheet17!$A$3:$A$264</definedName>
    <definedName name="r_1">[2]Sheet17!$B$3:$B$264</definedName>
    <definedName name="r_2">[2]Sheet17!$C$3:$C$264</definedName>
    <definedName name="r_3">[2]Sheet17!$D$3:$D$264</definedName>
    <definedName name="r_4">[2]Sheet17!$E$3:$E$264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24" i="4" l="1"/>
  <c r="P24" i="4"/>
  <c r="AD24" i="4" s="1"/>
  <c r="O24" i="4"/>
  <c r="N24" i="4"/>
  <c r="AB24" i="4" s="1"/>
  <c r="AD23" i="4"/>
  <c r="P23" i="4"/>
  <c r="O23" i="4"/>
  <c r="AC23" i="4" s="1"/>
  <c r="N23" i="4"/>
  <c r="AB23" i="4" s="1"/>
  <c r="AD22" i="4"/>
  <c r="AC22" i="4"/>
  <c r="AB22" i="4"/>
  <c r="P22" i="4"/>
  <c r="O22" i="4"/>
  <c r="N22" i="4"/>
  <c r="AD21" i="4"/>
  <c r="AB21" i="4"/>
  <c r="P21" i="4"/>
  <c r="O21" i="4"/>
  <c r="AC21" i="4" s="1"/>
  <c r="N21" i="4"/>
  <c r="P20" i="4"/>
  <c r="AD20" i="4" s="1"/>
  <c r="O20" i="4"/>
  <c r="AC20" i="4" s="1"/>
  <c r="N20" i="4"/>
  <c r="AB20" i="4" s="1"/>
  <c r="E21" i="4"/>
  <c r="E20" i="4"/>
  <c r="E20" i="4" a="1"/>
  <c r="AC19" i="4"/>
  <c r="AB19" i="4"/>
  <c r="P19" i="4"/>
  <c r="AD19" i="4" s="1"/>
  <c r="O19" i="4"/>
  <c r="N19" i="4"/>
  <c r="AD18" i="4"/>
  <c r="P18" i="4"/>
  <c r="O18" i="4"/>
  <c r="AC18" i="4" s="1"/>
  <c r="N18" i="4"/>
  <c r="AB18" i="4" s="1"/>
  <c r="AD17" i="4"/>
  <c r="AC17" i="4"/>
  <c r="AB17" i="4"/>
  <c r="P17" i="4"/>
  <c r="O17" i="4"/>
  <c r="N17" i="4"/>
  <c r="AC16" i="4"/>
  <c r="AB16" i="4"/>
  <c r="P16" i="4"/>
  <c r="AD16" i="4" s="1"/>
  <c r="O16" i="4"/>
  <c r="N16" i="4"/>
  <c r="G16" i="4"/>
  <c r="AD15" i="4"/>
  <c r="AC15" i="4"/>
  <c r="P15" i="4"/>
  <c r="O15" i="4"/>
  <c r="N15" i="4"/>
  <c r="AB15" i="4" s="1"/>
  <c r="AD14" i="4"/>
  <c r="P14" i="4"/>
  <c r="O14" i="4"/>
  <c r="AC14" i="4" s="1"/>
  <c r="N14" i="4"/>
  <c r="AB14" i="4" s="1"/>
  <c r="F14" i="4"/>
  <c r="P13" i="4"/>
  <c r="AD13" i="4" s="1"/>
  <c r="O13" i="4"/>
  <c r="AC13" i="4" s="1"/>
  <c r="N13" i="4"/>
  <c r="AB13" i="4" s="1"/>
  <c r="AC12" i="4"/>
  <c r="P12" i="4"/>
  <c r="AD12" i="4" s="1"/>
  <c r="O12" i="4"/>
  <c r="N12" i="4"/>
  <c r="AB12" i="4" s="1"/>
  <c r="AD11" i="4"/>
  <c r="AC11" i="4"/>
  <c r="P11" i="4"/>
  <c r="O11" i="4"/>
  <c r="N11" i="4"/>
  <c r="AB11" i="4" s="1"/>
  <c r="P10" i="4"/>
  <c r="O10" i="4"/>
  <c r="AC10" i="4" s="1"/>
  <c r="N10" i="4"/>
  <c r="AB10" i="4" s="1"/>
  <c r="F10" i="4"/>
  <c r="F16" i="4" s="1"/>
  <c r="P9" i="4"/>
  <c r="O9" i="4"/>
  <c r="AC9" i="4" s="1"/>
  <c r="N9" i="4"/>
  <c r="AB9" i="4" s="1"/>
  <c r="P8" i="4"/>
  <c r="O8" i="4"/>
  <c r="AC8" i="4" s="1"/>
  <c r="N8" i="4"/>
  <c r="AB8" i="4" s="1"/>
  <c r="AD7" i="4"/>
  <c r="P7" i="4"/>
  <c r="O7" i="4"/>
  <c r="AC7" i="4" s="1"/>
  <c r="N7" i="4"/>
  <c r="AB7" i="4" s="1"/>
  <c r="P6" i="4"/>
  <c r="O6" i="4"/>
  <c r="AC6" i="4" s="1"/>
  <c r="N6" i="4"/>
  <c r="AB6" i="4" s="1"/>
  <c r="AC5" i="4"/>
  <c r="P5" i="4"/>
  <c r="AD5" i="4" s="1"/>
  <c r="O5" i="4"/>
  <c r="N5" i="4"/>
  <c r="AD4" i="4"/>
  <c r="AC4" i="4"/>
  <c r="AB4" i="4"/>
  <c r="P4" i="4"/>
  <c r="O4" i="4"/>
  <c r="N4" i="4"/>
  <c r="AC3" i="4"/>
  <c r="P3" i="4"/>
  <c r="AD3" i="4" s="1"/>
  <c r="O3" i="4"/>
  <c r="N3" i="4"/>
  <c r="AB3" i="4" s="1"/>
  <c r="AG20" i="4" s="1" a="1"/>
  <c r="W21" i="3"/>
  <c r="W20" i="3"/>
  <c r="W20" i="3" a="1"/>
  <c r="E20" i="3" a="1"/>
  <c r="E21" i="3" s="1"/>
  <c r="P18" i="3"/>
  <c r="O18" i="3"/>
  <c r="N18" i="3"/>
  <c r="P17" i="3"/>
  <c r="O17" i="3"/>
  <c r="N17" i="3"/>
  <c r="P16" i="3"/>
  <c r="O16" i="3"/>
  <c r="N16" i="3"/>
  <c r="G16" i="3"/>
  <c r="F16" i="3"/>
  <c r="F15" i="3" s="1"/>
  <c r="P15" i="3"/>
  <c r="O15" i="3"/>
  <c r="N15" i="3"/>
  <c r="X14" i="3"/>
  <c r="P14" i="3"/>
  <c r="O14" i="3"/>
  <c r="N14" i="3"/>
  <c r="F14" i="3"/>
  <c r="P13" i="3"/>
  <c r="O13" i="3"/>
  <c r="N13" i="3"/>
  <c r="P12" i="3"/>
  <c r="O12" i="3"/>
  <c r="N12" i="3"/>
  <c r="P11" i="3"/>
  <c r="O11" i="3"/>
  <c r="N11" i="3"/>
  <c r="X10" i="3"/>
  <c r="P10" i="3"/>
  <c r="O10" i="3"/>
  <c r="N10" i="3"/>
  <c r="F10" i="3"/>
  <c r="P9" i="3"/>
  <c r="O9" i="3"/>
  <c r="N9" i="3"/>
  <c r="Q4" i="3" s="1" a="1"/>
  <c r="P8" i="3"/>
  <c r="O8" i="3"/>
  <c r="N8" i="3"/>
  <c r="P7" i="3"/>
  <c r="O7" i="3"/>
  <c r="N7" i="3"/>
  <c r="P6" i="3"/>
  <c r="O6" i="3"/>
  <c r="N6" i="3"/>
  <c r="P5" i="3"/>
  <c r="O5" i="3"/>
  <c r="N5" i="3"/>
  <c r="P4" i="3"/>
  <c r="O4" i="3"/>
  <c r="N4" i="3"/>
  <c r="P3" i="3"/>
  <c r="O3" i="3"/>
  <c r="N3" i="3"/>
  <c r="AD22" i="2"/>
  <c r="AS20" i="2" a="1"/>
  <c r="AS20" i="2" s="1"/>
  <c r="AD20" i="2"/>
  <c r="K20" i="2"/>
  <c r="K20" i="2" a="1"/>
  <c r="AN17" i="2"/>
  <c r="U17" i="2"/>
  <c r="T17" i="2"/>
  <c r="AT16" i="2"/>
  <c r="AT15" i="2" s="1"/>
  <c r="AN16" i="2"/>
  <c r="U16" i="2"/>
  <c r="T16" i="2"/>
  <c r="M16" i="2"/>
  <c r="L16" i="2"/>
  <c r="AN15" i="2"/>
  <c r="U15" i="2"/>
  <c r="W15" i="2" s="1"/>
  <c r="T15" i="2"/>
  <c r="AT14" i="2"/>
  <c r="AN14" i="2"/>
  <c r="U14" i="2"/>
  <c r="T14" i="2"/>
  <c r="L14" i="2"/>
  <c r="U13" i="2"/>
  <c r="T13" i="2"/>
  <c r="AN13" i="2" s="1"/>
  <c r="AN12" i="2"/>
  <c r="U12" i="2"/>
  <c r="T12" i="2"/>
  <c r="AN11" i="2"/>
  <c r="U11" i="2"/>
  <c r="T11" i="2"/>
  <c r="AT10" i="2"/>
  <c r="AN10" i="2"/>
  <c r="U10" i="2"/>
  <c r="T10" i="2"/>
  <c r="L10" i="2"/>
  <c r="U9" i="2"/>
  <c r="T9" i="2"/>
  <c r="AN9" i="2" s="1"/>
  <c r="S9" i="2"/>
  <c r="S10" i="2" s="1"/>
  <c r="S11" i="2" s="1"/>
  <c r="S12" i="2" s="1"/>
  <c r="S13" i="2" s="1"/>
  <c r="S14" i="2" s="1"/>
  <c r="S15" i="2" s="1"/>
  <c r="S16" i="2" s="1"/>
  <c r="S17" i="2" s="1"/>
  <c r="U8" i="2"/>
  <c r="T8" i="2"/>
  <c r="AN8" i="2" s="1"/>
  <c r="S8" i="2"/>
  <c r="U7" i="2"/>
  <c r="T7" i="2"/>
  <c r="AN7" i="2" s="1"/>
  <c r="S7" i="2"/>
  <c r="V17" i="2"/>
  <c r="V16" i="2"/>
  <c r="W16" i="2" s="1"/>
  <c r="V15" i="2"/>
  <c r="V6" i="2" a="1"/>
  <c r="U6" i="2"/>
  <c r="T6" i="2"/>
  <c r="AN6" i="2" s="1"/>
  <c r="U5" i="2"/>
  <c r="T5" i="2"/>
  <c r="AN5" i="2" s="1"/>
  <c r="J20" i="1" a="1"/>
  <c r="J20" i="1" s="1"/>
  <c r="H12" i="1"/>
  <c r="D12" i="1"/>
  <c r="H11" i="1"/>
  <c r="D11" i="1"/>
  <c r="K10" i="1"/>
  <c r="H10" i="1"/>
  <c r="D10" i="1"/>
  <c r="H9" i="1"/>
  <c r="D9" i="1"/>
  <c r="A9" i="1"/>
  <c r="A10" i="1" s="1"/>
  <c r="A11" i="1" s="1"/>
  <c r="A12" i="1" s="1"/>
  <c r="H8" i="1"/>
  <c r="D8" i="1"/>
  <c r="H7" i="1"/>
  <c r="D7" i="1"/>
  <c r="A7" i="1"/>
  <c r="A8" i="1" s="1"/>
  <c r="H6" i="1"/>
  <c r="D6" i="1"/>
  <c r="A6" i="1"/>
  <c r="H5" i="1"/>
  <c r="D5" i="1"/>
  <c r="K14" i="1" s="1"/>
  <c r="AH19" i="4" a="1"/>
  <c r="AN23" i="4" a="1"/>
  <c r="AN21" i="4"/>
  <c r="X23" i="3"/>
  <c r="X19" i="3" a="1"/>
  <c r="X6" i="2" a="1"/>
  <c r="L21" i="3"/>
  <c r="L19" i="2" a="1"/>
  <c r="AD21" i="3" a="1"/>
  <c r="F19" i="4" a="1"/>
  <c r="L21" i="4"/>
  <c r="AT19" i="2" a="1"/>
  <c r="AN20" i="4"/>
  <c r="AD20" i="3" a="1"/>
  <c r="L20" i="4"/>
  <c r="L20" i="3"/>
  <c r="K19" i="1" a="1"/>
  <c r="F19" i="3" a="1"/>
  <c r="G21" i="3" l="1"/>
  <c r="F21" i="3"/>
  <c r="F19" i="3"/>
  <c r="G20" i="3"/>
  <c r="F20" i="3"/>
  <c r="G19" i="3"/>
  <c r="L20" i="1"/>
  <c r="K20" i="1"/>
  <c r="L19" i="1"/>
  <c r="K19" i="1"/>
  <c r="AD20" i="3"/>
  <c r="AT20" i="2"/>
  <c r="AY20" i="2" s="1"/>
  <c r="AU19" i="2"/>
  <c r="AU20" i="2"/>
  <c r="AT19" i="2"/>
  <c r="G21" i="4"/>
  <c r="F21" i="4"/>
  <c r="F19" i="4"/>
  <c r="G20" i="4"/>
  <c r="F20" i="4"/>
  <c r="G19" i="4"/>
  <c r="AD21" i="3"/>
  <c r="L19" i="2"/>
  <c r="M20" i="2"/>
  <c r="N20" i="2" s="1"/>
  <c r="O20" i="2" s="1"/>
  <c r="L20" i="2"/>
  <c r="M19" i="2"/>
  <c r="X7" i="2"/>
  <c r="X16" i="2"/>
  <c r="X15" i="2"/>
  <c r="X11" i="2"/>
  <c r="X6" i="2"/>
  <c r="X17" i="2"/>
  <c r="X10" i="2"/>
  <c r="X8" i="2"/>
  <c r="X14" i="2"/>
  <c r="X13" i="2"/>
  <c r="X12" i="2"/>
  <c r="X9" i="2"/>
  <c r="Y19" i="3"/>
  <c r="Y21" i="3"/>
  <c r="X21" i="3"/>
  <c r="X19" i="3"/>
  <c r="Y20" i="3"/>
  <c r="X20" i="3"/>
  <c r="AN25" i="4"/>
  <c r="AN24" i="4"/>
  <c r="AN23" i="4"/>
  <c r="AI19" i="4"/>
  <c r="AI21" i="4"/>
  <c r="AH21" i="4"/>
  <c r="AH20" i="4"/>
  <c r="AH19" i="4"/>
  <c r="AI20" i="4"/>
  <c r="AX19" i="2"/>
  <c r="AJ20" i="4"/>
  <c r="AC19" i="3"/>
  <c r="Z20" i="3"/>
  <c r="AA20" i="3" s="1"/>
  <c r="H21" i="4"/>
  <c r="Q14" i="3"/>
  <c r="Q13" i="3"/>
  <c r="Q11" i="3"/>
  <c r="Q9" i="3"/>
  <c r="Q16" i="3"/>
  <c r="R16" i="3" s="1"/>
  <c r="S16" i="3" s="1"/>
  <c r="Q10" i="3"/>
  <c r="R10" i="3" s="1"/>
  <c r="S10" i="3" s="1"/>
  <c r="Q8" i="3"/>
  <c r="R8" i="3" s="1"/>
  <c r="S8" i="3" s="1"/>
  <c r="Q7" i="3"/>
  <c r="Q6" i="3"/>
  <c r="R6" i="3" s="1"/>
  <c r="S6" i="3" s="1"/>
  <c r="Q15" i="3"/>
  <c r="R15" i="3" s="1"/>
  <c r="S15" i="3" s="1"/>
  <c r="Q12" i="3"/>
  <c r="R12" i="3" s="1"/>
  <c r="S12" i="3" s="1"/>
  <c r="Q5" i="3"/>
  <c r="R5" i="3" s="1"/>
  <c r="S5" i="3" s="1"/>
  <c r="Q4" i="3"/>
  <c r="Q18" i="3"/>
  <c r="Q17" i="3"/>
  <c r="AO15" i="2"/>
  <c r="AY19" i="2"/>
  <c r="R14" i="3"/>
  <c r="S14" i="3" s="1"/>
  <c r="W10" i="2"/>
  <c r="R9" i="3"/>
  <c r="S9" i="3" s="1"/>
  <c r="W13" i="2"/>
  <c r="AO16" i="2"/>
  <c r="R17" i="3"/>
  <c r="S17" i="3" s="1"/>
  <c r="Q4" i="4" a="1"/>
  <c r="AB5" i="4"/>
  <c r="V9" i="2"/>
  <c r="W9" i="2" s="1"/>
  <c r="V6" i="2"/>
  <c r="V14" i="2"/>
  <c r="W14" i="2" s="1"/>
  <c r="V11" i="2"/>
  <c r="V10" i="2"/>
  <c r="V8" i="2"/>
  <c r="V7" i="2"/>
  <c r="W7" i="2" s="1"/>
  <c r="L15" i="2"/>
  <c r="W17" i="2"/>
  <c r="R18" i="3"/>
  <c r="S18" i="3" s="1"/>
  <c r="AG20" i="4"/>
  <c r="AG21" i="4"/>
  <c r="AD6" i="4"/>
  <c r="AH10" i="4" s="1"/>
  <c r="AD9" i="4"/>
  <c r="AD10" i="4"/>
  <c r="AD8" i="4"/>
  <c r="W6" i="2"/>
  <c r="K16" i="1"/>
  <c r="K15" i="1" s="1"/>
  <c r="W8" i="2"/>
  <c r="AV20" i="2"/>
  <c r="AW20" i="2" s="1"/>
  <c r="R13" i="3"/>
  <c r="S13" i="3" s="1"/>
  <c r="V12" i="2"/>
  <c r="W12" i="2" s="1"/>
  <c r="X16" i="3"/>
  <c r="X15" i="3" s="1"/>
  <c r="V13" i="2"/>
  <c r="W11" i="2"/>
  <c r="F15" i="4"/>
  <c r="R7" i="3"/>
  <c r="S7" i="3" s="1"/>
  <c r="R11" i="3"/>
  <c r="S11" i="3" s="1"/>
  <c r="E20" i="3"/>
  <c r="L16" i="1"/>
  <c r="AH14" i="4"/>
  <c r="AU14" i="2" a="1"/>
  <c r="AI14" i="4" a="1"/>
  <c r="G14" i="4"/>
  <c r="G14" i="3"/>
  <c r="Y14" i="3" a="1"/>
  <c r="M14" i="2"/>
  <c r="L14" i="1" a="1"/>
  <c r="L14" i="1" l="1"/>
  <c r="M15" i="2"/>
  <c r="N14" i="2"/>
  <c r="L7" i="2"/>
  <c r="L8" i="2" s="1"/>
  <c r="Y14" i="3"/>
  <c r="G15" i="3"/>
  <c r="I6" i="3" s="1"/>
  <c r="I7" i="3" s="1"/>
  <c r="AI14" i="4"/>
  <c r="AU14" i="2"/>
  <c r="AX20" i="2"/>
  <c r="J19" i="3"/>
  <c r="AV19" i="2"/>
  <c r="AW19" i="2" s="1"/>
  <c r="L6" i="2"/>
  <c r="N19" i="2"/>
  <c r="O19" i="2" s="1"/>
  <c r="Q19" i="2"/>
  <c r="H19" i="3"/>
  <c r="I19" i="3" s="1"/>
  <c r="AB19" i="3"/>
  <c r="H20" i="4"/>
  <c r="I20" i="4" s="1"/>
  <c r="AC20" i="3"/>
  <c r="K20" i="4"/>
  <c r="Z19" i="3"/>
  <c r="AA19" i="3" s="1"/>
  <c r="P19" i="2"/>
  <c r="AJ21" i="4"/>
  <c r="AB20" i="3"/>
  <c r="AO12" i="2"/>
  <c r="AH16" i="4"/>
  <c r="AH15" i="4" s="1"/>
  <c r="Q24" i="4"/>
  <c r="R24" i="4" s="1"/>
  <c r="Q12" i="4"/>
  <c r="R12" i="4" s="1"/>
  <c r="Q23" i="4"/>
  <c r="R23" i="4" s="1"/>
  <c r="Q11" i="4"/>
  <c r="R11" i="4" s="1"/>
  <c r="Q21" i="4"/>
  <c r="R21" i="4" s="1"/>
  <c r="Q9" i="4"/>
  <c r="R9" i="4" s="1"/>
  <c r="Q20" i="4"/>
  <c r="R20" i="4" s="1"/>
  <c r="Q8" i="4"/>
  <c r="R8" i="4" s="1"/>
  <c r="Q19" i="4"/>
  <c r="R19" i="4" s="1"/>
  <c r="Q7" i="4"/>
  <c r="R7" i="4" s="1"/>
  <c r="Q4" i="4"/>
  <c r="R4" i="4" s="1"/>
  <c r="Q18" i="4"/>
  <c r="R18" i="4" s="1"/>
  <c r="Q17" i="4"/>
  <c r="R17" i="4" s="1"/>
  <c r="Q15" i="4"/>
  <c r="R15" i="4" s="1"/>
  <c r="Q16" i="4"/>
  <c r="R16" i="4" s="1"/>
  <c r="Q14" i="4"/>
  <c r="R14" i="4" s="1"/>
  <c r="Q22" i="4"/>
  <c r="R22" i="4" s="1"/>
  <c r="Q13" i="4"/>
  <c r="R13" i="4" s="1"/>
  <c r="Q10" i="4"/>
  <c r="R10" i="4" s="1"/>
  <c r="Q6" i="4"/>
  <c r="R6" i="4" s="1"/>
  <c r="Q5" i="4"/>
  <c r="R5" i="4" s="1"/>
  <c r="K19" i="3"/>
  <c r="AO7" i="2"/>
  <c r="J21" i="4"/>
  <c r="J20" i="4"/>
  <c r="K20" i="3"/>
  <c r="H20" i="3"/>
  <c r="I20" i="3" s="1"/>
  <c r="J20" i="3"/>
  <c r="AJ19" i="4"/>
  <c r="AK19" i="4" s="1"/>
  <c r="AO8" i="2"/>
  <c r="AO10" i="2"/>
  <c r="AO17" i="2"/>
  <c r="AO13" i="2"/>
  <c r="I21" i="4"/>
  <c r="K19" i="4"/>
  <c r="H19" i="4"/>
  <c r="I19" i="4" s="1"/>
  <c r="J19" i="4"/>
  <c r="K21" i="4"/>
  <c r="N15" i="2"/>
  <c r="O8" i="2"/>
  <c r="O6" i="2"/>
  <c r="O7" i="2" s="1"/>
  <c r="H15" i="3"/>
  <c r="F9" i="3" s="1"/>
  <c r="I8" i="3"/>
  <c r="P20" i="2"/>
  <c r="Z21" i="3"/>
  <c r="AA21" i="3" s="1"/>
  <c r="AC21" i="3"/>
  <c r="AB21" i="3"/>
  <c r="AO11" i="2"/>
  <c r="Q20" i="2"/>
  <c r="K21" i="3"/>
  <c r="J21" i="3"/>
  <c r="H21" i="3"/>
  <c r="I21" i="3" s="1"/>
  <c r="AO6" i="2"/>
  <c r="AP6" i="2" s="1" a="1"/>
  <c r="AD19" i="2"/>
  <c r="AD21" i="2" s="1"/>
  <c r="AC7" i="2" s="1"/>
  <c r="M19" i="1"/>
  <c r="N19" i="1" s="1"/>
  <c r="P19" i="1"/>
  <c r="O19" i="1"/>
  <c r="AO14" i="2"/>
  <c r="R4" i="3"/>
  <c r="S4" i="3" s="1"/>
  <c r="T4" i="3" s="1" a="1"/>
  <c r="H14" i="3"/>
  <c r="F7" i="3"/>
  <c r="P20" i="1"/>
  <c r="M20" i="1"/>
  <c r="N20" i="1" s="1"/>
  <c r="O20" i="1"/>
  <c r="AO9" i="2"/>
  <c r="I14" i="3" l="1"/>
  <c r="J14" i="3" s="1"/>
  <c r="K14" i="3" s="1"/>
  <c r="T8" i="3"/>
  <c r="U8" i="3" s="1"/>
  <c r="T7" i="3"/>
  <c r="U7" i="3" s="1"/>
  <c r="T17" i="3"/>
  <c r="U17" i="3" s="1"/>
  <c r="T5" i="3"/>
  <c r="U5" i="3" s="1"/>
  <c r="T16" i="3"/>
  <c r="U16" i="3" s="1"/>
  <c r="T4" i="3"/>
  <c r="U4" i="3" s="1"/>
  <c r="T15" i="3"/>
  <c r="U15" i="3" s="1"/>
  <c r="T18" i="3"/>
  <c r="U18" i="3" s="1"/>
  <c r="T12" i="3"/>
  <c r="U12" i="3" s="1"/>
  <c r="T11" i="3"/>
  <c r="U11" i="3" s="1"/>
  <c r="T9" i="3"/>
  <c r="U9" i="3" s="1"/>
  <c r="T10" i="3"/>
  <c r="U10" i="3" s="1"/>
  <c r="T6" i="3"/>
  <c r="U6" i="3" s="1"/>
  <c r="T14" i="3"/>
  <c r="U14" i="3" s="1"/>
  <c r="T13" i="3"/>
  <c r="U13" i="3" s="1"/>
  <c r="AP10" i="2"/>
  <c r="AQ10" i="2" s="1"/>
  <c r="AP7" i="2"/>
  <c r="AQ7" i="2" s="1"/>
  <c r="AP8" i="2"/>
  <c r="AQ8" i="2" s="1"/>
  <c r="AP17" i="2"/>
  <c r="AQ17" i="2" s="1"/>
  <c r="AP16" i="2"/>
  <c r="AQ16" i="2" s="1"/>
  <c r="AP15" i="2"/>
  <c r="AQ15" i="2" s="1"/>
  <c r="AP11" i="2"/>
  <c r="AQ11" i="2" s="1"/>
  <c r="AP6" i="2"/>
  <c r="AQ6" i="2" s="1"/>
  <c r="AP9" i="2"/>
  <c r="AQ9" i="2" s="1"/>
  <c r="AP14" i="2"/>
  <c r="AQ14" i="2" s="1"/>
  <c r="AP13" i="2"/>
  <c r="AQ13" i="2" s="1"/>
  <c r="AP12" i="2"/>
  <c r="AQ12" i="2" s="1"/>
  <c r="Z6" i="2"/>
  <c r="AA6" i="2" s="1"/>
  <c r="Z12" i="2"/>
  <c r="AA12" i="2" s="1"/>
  <c r="Z14" i="2"/>
  <c r="AA14" i="2" s="1"/>
  <c r="Z9" i="2"/>
  <c r="AA9" i="2" s="1"/>
  <c r="Z13" i="2"/>
  <c r="AA13" i="2" s="1"/>
  <c r="Z8" i="2"/>
  <c r="AA8" i="2" s="1"/>
  <c r="Z15" i="2"/>
  <c r="AA15" i="2" s="1"/>
  <c r="Z17" i="2"/>
  <c r="AA17" i="2" s="1"/>
  <c r="Z10" i="2"/>
  <c r="AA10" i="2" s="1"/>
  <c r="Z16" i="2"/>
  <c r="AA16" i="2" s="1"/>
  <c r="Z7" i="2"/>
  <c r="AA7" i="2" s="1"/>
  <c r="Z11" i="2"/>
  <c r="AA11" i="2" s="1"/>
  <c r="Y16" i="2"/>
  <c r="AC16" i="2"/>
  <c r="AC15" i="2"/>
  <c r="Y15" i="2"/>
  <c r="H14" i="4"/>
  <c r="F7" i="4"/>
  <c r="G15" i="4"/>
  <c r="AC6" i="2"/>
  <c r="AC8" i="2"/>
  <c r="AC9" i="2"/>
  <c r="Y13" i="2"/>
  <c r="W22" i="4"/>
  <c r="X22" i="4" s="1"/>
  <c r="AE4" i="4" s="1"/>
  <c r="U22" i="4"/>
  <c r="AC10" i="2"/>
  <c r="W21" i="4"/>
  <c r="X21" i="4" s="1"/>
  <c r="AE14" i="4" s="1"/>
  <c r="AE15" i="4" s="1"/>
  <c r="AE16" i="4" s="1"/>
  <c r="AE17" i="4" s="1"/>
  <c r="AE18" i="4" s="1"/>
  <c r="AE19" i="4" s="1"/>
  <c r="AE20" i="4" s="1"/>
  <c r="AE21" i="4" s="1"/>
  <c r="AE22" i="4" s="1"/>
  <c r="AE23" i="4" s="1"/>
  <c r="AE24" i="4" s="1"/>
  <c r="U21" i="4"/>
  <c r="V21" i="4"/>
  <c r="Y14" i="2"/>
  <c r="AL20" i="4"/>
  <c r="AK21" i="4"/>
  <c r="AM20" i="4"/>
  <c r="AL21" i="4"/>
  <c r="AK20" i="4"/>
  <c r="AM21" i="4"/>
  <c r="AC11" i="2"/>
  <c r="AM19" i="4"/>
  <c r="AC13" i="2"/>
  <c r="Y7" i="2"/>
  <c r="K7" i="1"/>
  <c r="M14" i="1"/>
  <c r="L9" i="2"/>
  <c r="O14" i="2"/>
  <c r="P14" i="2" s="1"/>
  <c r="Q14" i="2" s="1"/>
  <c r="Y11" i="2"/>
  <c r="L15" i="1"/>
  <c r="AC17" i="2"/>
  <c r="AL19" i="4"/>
  <c r="V22" i="4"/>
  <c r="F8" i="3"/>
  <c r="F6" i="3"/>
  <c r="Y6" i="2"/>
  <c r="Y17" i="2"/>
  <c r="Y12" i="2"/>
  <c r="Y8" i="2"/>
  <c r="Y9" i="2"/>
  <c r="AC14" i="2"/>
  <c r="Y10" i="2"/>
  <c r="AC12" i="2"/>
  <c r="H15" i="4" l="1"/>
  <c r="F9" i="4" s="1"/>
  <c r="I6" i="4"/>
  <c r="I7" i="4" s="1"/>
  <c r="I8" i="4"/>
  <c r="AB8" i="2"/>
  <c r="AD8" i="2"/>
  <c r="AB13" i="2"/>
  <c r="AD13" i="2"/>
  <c r="AD9" i="2"/>
  <c r="AB9" i="2"/>
  <c r="AD10" i="2"/>
  <c r="AB10" i="2"/>
  <c r="AB17" i="2"/>
  <c r="AD17" i="2"/>
  <c r="AU16" i="2"/>
  <c r="AB15" i="2"/>
  <c r="AD15" i="2"/>
  <c r="F8" i="4"/>
  <c r="F6" i="4"/>
  <c r="K6" i="1"/>
  <c r="K8" i="1"/>
  <c r="AD14" i="2"/>
  <c r="AB14" i="2"/>
  <c r="Y16" i="3"/>
  <c r="M15" i="1"/>
  <c r="K9" i="1" s="1"/>
  <c r="N8" i="1"/>
  <c r="N6" i="1"/>
  <c r="N7" i="1" s="1"/>
  <c r="AD12" i="2"/>
  <c r="AB12" i="2"/>
  <c r="AD6" i="2"/>
  <c r="AB6" i="2"/>
  <c r="AI16" i="4"/>
  <c r="AE5" i="4"/>
  <c r="AE6" i="4" s="1"/>
  <c r="AE7" i="4" s="1"/>
  <c r="AE8" i="4" s="1"/>
  <c r="AE9" i="4" s="1"/>
  <c r="AE10" i="4" s="1"/>
  <c r="AE11" i="4" s="1"/>
  <c r="AE12" i="4" s="1"/>
  <c r="AE13" i="4" s="1"/>
  <c r="AD11" i="2"/>
  <c r="AB11" i="2"/>
  <c r="AD7" i="2"/>
  <c r="AB7" i="2"/>
  <c r="AB16" i="2"/>
  <c r="AD16" i="2"/>
  <c r="AI15" i="4" l="1"/>
  <c r="AJ15" i="4" s="1"/>
  <c r="AH9" i="4" s="1"/>
  <c r="I14" i="4"/>
  <c r="J14" i="4" s="1"/>
  <c r="K14" i="4" s="1"/>
  <c r="X7" i="3"/>
  <c r="Z14" i="3"/>
  <c r="AV14" i="2"/>
  <c r="AT7" i="2"/>
  <c r="AU15" i="2"/>
  <c r="N14" i="1"/>
  <c r="O14" i="1" s="1"/>
  <c r="P14" i="1" s="1"/>
  <c r="AH7" i="4"/>
  <c r="AJ14" i="4"/>
  <c r="Y15" i="3"/>
  <c r="AK6" i="4" l="1"/>
  <c r="AK7" i="4" s="1"/>
  <c r="AK8" i="4"/>
  <c r="AK14" i="4"/>
  <c r="AL14" i="4" s="1"/>
  <c r="AM14" i="4" s="1"/>
  <c r="AH8" i="4"/>
  <c r="AH6" i="4"/>
  <c r="AV15" i="2"/>
  <c r="AT9" i="2" s="1"/>
  <c r="AW6" i="2"/>
  <c r="AW7" i="2" s="1"/>
  <c r="AW8" i="2"/>
  <c r="AT6" i="2"/>
  <c r="AT8" i="2"/>
  <c r="AW14" i="2"/>
  <c r="AX14" i="2" s="1"/>
  <c r="AY14" i="2" s="1"/>
  <c r="X6" i="3"/>
  <c r="X8" i="3"/>
  <c r="Z15" i="3"/>
  <c r="X9" i="3" s="1"/>
  <c r="AA6" i="3"/>
  <c r="AA7" i="3" s="1"/>
  <c r="AA8" i="3"/>
  <c r="AA14" i="3" l="1"/>
  <c r="AB14" i="3" s="1"/>
  <c r="AC14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<sst xmlns="http://schemas.openxmlformats.org/spreadsheetml/2006/main" count="257" uniqueCount="75">
  <si>
    <t>Weighted Linear Regression</t>
  </si>
  <si>
    <t>Company size ($ million)</t>
  </si>
  <si>
    <t>Wages ($ thousands)</t>
  </si>
  <si>
    <t>Weighted Regression Analysis</t>
  </si>
  <si>
    <t>band</t>
  </si>
  <si>
    <t>lower</t>
  </si>
  <si>
    <t>upper</t>
  </si>
  <si>
    <t>Ln(mean)</t>
  </si>
  <si>
    <t>Mean</t>
  </si>
  <si>
    <t>Std Dev</t>
  </si>
  <si>
    <t>Weight</t>
  </si>
  <si>
    <t>OVERALL FIT</t>
  </si>
  <si>
    <t>Multiple R</t>
  </si>
  <si>
    <t>AIC</t>
  </si>
  <si>
    <t>R Square</t>
  </si>
  <si>
    <t>AICc</t>
  </si>
  <si>
    <t>Adjusted R Square</t>
  </si>
  <si>
    <t>BSC</t>
  </si>
  <si>
    <t>Standard Error</t>
  </si>
  <si>
    <t>Observations</t>
  </si>
  <si>
    <t>ANOVA</t>
  </si>
  <si>
    <t>Alpha</t>
  </si>
  <si>
    <t>df</t>
  </si>
  <si>
    <t>SS</t>
  </si>
  <si>
    <t>MS</t>
  </si>
  <si>
    <t>F</t>
  </si>
  <si>
    <t>p-value</t>
  </si>
  <si>
    <t>sig</t>
  </si>
  <si>
    <t>Regression</t>
  </si>
  <si>
    <t>Residual</t>
  </si>
  <si>
    <t>Total</t>
  </si>
  <si>
    <t>coeff</t>
  </si>
  <si>
    <t>std err</t>
  </si>
  <si>
    <t>t stat</t>
  </si>
  <si>
    <t>Intercept</t>
  </si>
  <si>
    <t>Weighted Regression</t>
  </si>
  <si>
    <t>Ad</t>
  </si>
  <si>
    <t>Clients</t>
  </si>
  <si>
    <t>Regression Analysis</t>
  </si>
  <si>
    <t>Cook's D</t>
  </si>
  <si>
    <t>Obs</t>
  </si>
  <si>
    <t>Pred Y</t>
  </si>
  <si>
    <t>Leverage</t>
  </si>
  <si>
    <t>SResidual</t>
  </si>
  <si>
    <t>Mod MSE</t>
  </si>
  <si>
    <t>RStudent</t>
  </si>
  <si>
    <t>T-Test</t>
  </si>
  <si>
    <t>DFFITS</t>
  </si>
  <si>
    <t>Abs Res</t>
  </si>
  <si>
    <t>Pred Res</t>
  </si>
  <si>
    <t>Weights</t>
  </si>
  <si>
    <t>SBC</t>
  </si>
  <si>
    <t>Adj R Square</t>
  </si>
  <si>
    <t>SSE</t>
  </si>
  <si>
    <t>dfE</t>
  </si>
  <si>
    <t>MSE</t>
  </si>
  <si>
    <t>k</t>
  </si>
  <si>
    <t>Pred</t>
  </si>
  <si>
    <t>Res</t>
  </si>
  <si>
    <t>Color</t>
  </si>
  <si>
    <t>Quality</t>
  </si>
  <si>
    <t>Price</t>
  </si>
  <si>
    <t>vif</t>
  </si>
  <si>
    <t>Score</t>
  </si>
  <si>
    <t>Gender</t>
  </si>
  <si>
    <t>Stress</t>
  </si>
  <si>
    <t>Min</t>
  </si>
  <si>
    <t>Max</t>
  </si>
  <si>
    <t>Var</t>
  </si>
  <si>
    <t>Males</t>
  </si>
  <si>
    <t>Females</t>
  </si>
  <si>
    <t>Real Statistics Using Excel</t>
  </si>
  <si>
    <t>Updated</t>
  </si>
  <si>
    <t>Copyright © 2013 - 2026 Charles Zaiontz</t>
  </si>
  <si>
    <t>WLS regression and heteroskedasticity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</si>
</sst>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13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right"/>
    </xf>
    <xf numFmtId="2" fontId="0" fillId="0" borderId="17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2" fontId="0" fillId="0" borderId="10" xfId="0" applyNumberFormat="1" applyBorder="1" applyAlignment="1">
      <alignment horizontal="center"/>
    </xf>
    <xf numFmtId="15" fontId="0" fillId="0" borderId="0" xfId="0" applyNumberForma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Residual Analysis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'Ex 2'!$W$5</c:f>
              <c:strCache>
                <c:ptCount val="1"/>
                <c:pt idx="0">
                  <c:v>Residual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'Ex 2'!$T$6:$T$17</c:f>
              <c:numCache>
                <c:formatCode>General</c:formatCode>
                <c:ptCount val="12"/>
                <c:pt idx="0">
                  <c:v>26</c:v>
                </c:pt>
                <c:pt idx="1">
                  <c:v>24</c:v>
                </c:pt>
                <c:pt idx="2">
                  <c:v>32</c:v>
                </c:pt>
                <c:pt idx="3">
                  <c:v>20</c:v>
                </c:pt>
                <c:pt idx="4">
                  <c:v>24</c:v>
                </c:pt>
                <c:pt idx="5">
                  <c:v>27</c:v>
                </c:pt>
                <c:pt idx="6">
                  <c:v>20</c:v>
                </c:pt>
                <c:pt idx="7">
                  <c:v>23</c:v>
                </c:pt>
                <c:pt idx="8">
                  <c:v>29</c:v>
                </c:pt>
                <c:pt idx="9">
                  <c:v>22</c:v>
                </c:pt>
                <c:pt idx="10">
                  <c:v>28</c:v>
                </c:pt>
                <c:pt idx="11">
                  <c:v>21</c:v>
                </c:pt>
              </c:numCache>
            </c:numRef>
          </c:xVal>
          <c:yVal>
            <c:numRef>
              <c:f>'Ex 2'!$W$6:$W$17</c:f>
              <c:numCache>
                <c:formatCode>General</c:formatCode>
                <c:ptCount val="12"/>
                <c:pt idx="0">
                  <c:v>-0.22689075630251665</c:v>
                </c:pt>
                <c:pt idx="1">
                  <c:v>4.6134453781512619</c:v>
                </c:pt>
                <c:pt idx="2">
                  <c:v>-7.7478991596638593</c:v>
                </c:pt>
                <c:pt idx="3">
                  <c:v>-1.7058823529411811</c:v>
                </c:pt>
                <c:pt idx="4">
                  <c:v>-3.3865546218487381</c:v>
                </c:pt>
                <c:pt idx="5">
                  <c:v>-5.6470588235293917</c:v>
                </c:pt>
                <c:pt idx="6">
                  <c:v>3.2941176470588189</c:v>
                </c:pt>
                <c:pt idx="7">
                  <c:v>1.0336134453781582</c:v>
                </c:pt>
                <c:pt idx="8">
                  <c:v>9.5126050420168156</c:v>
                </c:pt>
                <c:pt idx="9">
                  <c:v>-1.5462184873949596</c:v>
                </c:pt>
                <c:pt idx="10">
                  <c:v>5.9327731092436977</c:v>
                </c:pt>
                <c:pt idx="11">
                  <c:v>-4.1260504201680632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F70-4C6D-BD47-51AA56FF2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699648"/>
        <c:axId val="481692592"/>
      </c:scatterChart>
      <c:valAx>
        <c:axId val="481699648"/>
        <c:scaling>
          <c:orientation val="minMax"/>
          <c:max val="32"/>
          <c:min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Ad Spend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1692592"/>
        <c:crosses val="autoZero"/>
        <c:crossBetween val="midCat"/>
      </c:valAx>
      <c:valAx>
        <c:axId val="481692592"/>
        <c:scaling>
          <c:orientation val="minMax"/>
          <c:max val="10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Residuals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16996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Impact of Ad Budget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'Ex 2'!$B$3</c:f>
              <c:strCache>
                <c:ptCount val="1"/>
                <c:pt idx="0">
                  <c:v>Clients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'Ex 2'!$A$4:$A$15</c:f>
              <c:numCache>
                <c:formatCode>General</c:formatCode>
                <c:ptCount val="12"/>
                <c:pt idx="0">
                  <c:v>26</c:v>
                </c:pt>
                <c:pt idx="1">
                  <c:v>24</c:v>
                </c:pt>
                <c:pt idx="2">
                  <c:v>32</c:v>
                </c:pt>
                <c:pt idx="3">
                  <c:v>20</c:v>
                </c:pt>
                <c:pt idx="4">
                  <c:v>24</c:v>
                </c:pt>
                <c:pt idx="5">
                  <c:v>27</c:v>
                </c:pt>
                <c:pt idx="6">
                  <c:v>20</c:v>
                </c:pt>
                <c:pt idx="7">
                  <c:v>23</c:v>
                </c:pt>
                <c:pt idx="8">
                  <c:v>29</c:v>
                </c:pt>
                <c:pt idx="9">
                  <c:v>22</c:v>
                </c:pt>
                <c:pt idx="10">
                  <c:v>28</c:v>
                </c:pt>
                <c:pt idx="11">
                  <c:v>21</c:v>
                </c:pt>
              </c:numCache>
            </c:numRef>
          </c:xVal>
          <c:yVal>
            <c:numRef>
              <c:f>'Ex 2'!$B$4:$B$15</c:f>
              <c:numCache>
                <c:formatCode>General</c:formatCode>
                <c:ptCount val="12"/>
                <c:pt idx="0">
                  <c:v>61</c:v>
                </c:pt>
                <c:pt idx="1">
                  <c:v>59</c:v>
                </c:pt>
                <c:pt idx="2">
                  <c:v>74</c:v>
                </c:pt>
                <c:pt idx="3">
                  <c:v>39</c:v>
                </c:pt>
                <c:pt idx="4">
                  <c:v>51</c:v>
                </c:pt>
                <c:pt idx="5">
                  <c:v>59</c:v>
                </c:pt>
                <c:pt idx="6">
                  <c:v>44</c:v>
                </c:pt>
                <c:pt idx="7">
                  <c:v>52</c:v>
                </c:pt>
                <c:pt idx="8">
                  <c:v>81</c:v>
                </c:pt>
                <c:pt idx="9">
                  <c:v>46</c:v>
                </c:pt>
                <c:pt idx="10">
                  <c:v>74</c:v>
                </c:pt>
                <c:pt idx="11">
                  <c:v>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13E-49D1-A346-25A5171A1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691808"/>
        <c:axId val="481703960"/>
      </c:scatterChart>
      <c:valAx>
        <c:axId val="481691808"/>
        <c:scaling>
          <c:orientation val="minMax"/>
          <c:max val="32"/>
          <c:min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Ad spend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1703960"/>
        <c:crosses val="autoZero"/>
        <c:crossBetween val="midCat"/>
      </c:valAx>
      <c:valAx>
        <c:axId val="481703960"/>
        <c:scaling>
          <c:orientation val="minMax"/>
          <c:max val="90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New Clients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16918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Residual Plot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'Ex 3'!$R$3</c:f>
              <c:strCache>
                <c:ptCount val="1"/>
                <c:pt idx="0">
                  <c:v>Res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'Ex 3'!$Q$4:$Q$18</c:f>
              <c:numCache>
                <c:formatCode>General</c:formatCode>
                <c:ptCount val="15"/>
                <c:pt idx="0">
                  <c:v>55.026564295334694</c:v>
                </c:pt>
                <c:pt idx="1">
                  <c:v>42.689423742742569</c:v>
                </c:pt>
                <c:pt idx="2">
                  <c:v>56.567118409338214</c:v>
                </c:pt>
                <c:pt idx="3">
                  <c:v>44.619881750458461</c:v>
                </c:pt>
                <c:pt idx="4">
                  <c:v>57.340572376480964</c:v>
                </c:pt>
                <c:pt idx="5">
                  <c:v>41.14886962873905</c:v>
                </c:pt>
                <c:pt idx="6">
                  <c:v>22.259608726420481</c:v>
                </c:pt>
                <c:pt idx="7">
                  <c:v>63.892692726207414</c:v>
                </c:pt>
                <c:pt idx="8">
                  <c:v>19.562050571843827</c:v>
                </c:pt>
                <c:pt idx="9">
                  <c:v>24.957166880997136</c:v>
                </c:pt>
                <c:pt idx="10">
                  <c:v>20.719054612416969</c:v>
                </c:pt>
                <c:pt idx="11">
                  <c:v>33.823295311869856</c:v>
                </c:pt>
                <c:pt idx="12">
                  <c:v>67.747254921357211</c:v>
                </c:pt>
                <c:pt idx="13">
                  <c:v>46.160435864461974</c:v>
                </c:pt>
                <c:pt idx="14">
                  <c:v>53.486010181331174</c:v>
                </c:pt>
              </c:numCache>
            </c:numRef>
          </c:xVal>
          <c:yVal>
            <c:numRef>
              <c:f>'Ex 3'!$R$4:$R$18</c:f>
              <c:numCache>
                <c:formatCode>General</c:formatCode>
                <c:ptCount val="15"/>
                <c:pt idx="0">
                  <c:v>9.9734357046653059</c:v>
                </c:pt>
                <c:pt idx="1">
                  <c:v>-4.6894237427425693</c:v>
                </c:pt>
                <c:pt idx="2">
                  <c:v>-5.5671184093382138</c:v>
                </c:pt>
                <c:pt idx="3">
                  <c:v>-6.6198817504584611</c:v>
                </c:pt>
                <c:pt idx="4">
                  <c:v>-2.3405723764809636</c:v>
                </c:pt>
                <c:pt idx="5">
                  <c:v>1.8511303712609504</c:v>
                </c:pt>
                <c:pt idx="6">
                  <c:v>-2.2596087264204812</c:v>
                </c:pt>
                <c:pt idx="7">
                  <c:v>1.1073072737925855</c:v>
                </c:pt>
                <c:pt idx="8">
                  <c:v>0.43794942815617333</c:v>
                </c:pt>
                <c:pt idx="9">
                  <c:v>1.0428331190028644</c:v>
                </c:pt>
                <c:pt idx="10">
                  <c:v>4.2809453875830314</c:v>
                </c:pt>
                <c:pt idx="11">
                  <c:v>-0.82329531186985605</c:v>
                </c:pt>
                <c:pt idx="12">
                  <c:v>3.2527450786427892</c:v>
                </c:pt>
                <c:pt idx="13">
                  <c:v>4.8395641355380263</c:v>
                </c:pt>
                <c:pt idx="14">
                  <c:v>-4.4860101813311744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B46-4358-90BF-A32E29C53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701608"/>
        <c:axId val="481692984"/>
      </c:scatterChart>
      <c:valAx>
        <c:axId val="481701608"/>
        <c:scaling>
          <c:orientation val="minMax"/>
          <c:max val="80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Forecasted Price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1692984"/>
        <c:crosses val="autoZero"/>
        <c:crossBetween val="midCat"/>
      </c:valAx>
      <c:valAx>
        <c:axId val="481692984"/>
        <c:scaling>
          <c:orientation val="minMax"/>
          <c:max val="12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Residuals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17016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Residual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Female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'Ex 4'!$Q$4:$Q$13</c:f>
              <c:numCache>
                <c:formatCode>General</c:formatCode>
                <c:ptCount val="10"/>
                <c:pt idx="0">
                  <c:v>3.4648189777471519</c:v>
                </c:pt>
                <c:pt idx="1">
                  <c:v>3.4880909975274603</c:v>
                </c:pt>
                <c:pt idx="2">
                  <c:v>3.3979119208787636</c:v>
                </c:pt>
                <c:pt idx="3">
                  <c:v>3.4357289530217656</c:v>
                </c:pt>
                <c:pt idx="4">
                  <c:v>3.4124569332414572</c:v>
                </c:pt>
                <c:pt idx="5">
                  <c:v>3.5026360098901534</c:v>
                </c:pt>
                <c:pt idx="6">
                  <c:v>3.4648189777471519</c:v>
                </c:pt>
                <c:pt idx="7">
                  <c:v>3.4240929431316114</c:v>
                </c:pt>
                <c:pt idx="8">
                  <c:v>3.5753610717036191</c:v>
                </c:pt>
                <c:pt idx="9">
                  <c:v>3.7440832151108578</c:v>
                </c:pt>
              </c:numCache>
            </c:numRef>
          </c:xVal>
          <c:yVal>
            <c:numRef>
              <c:f>'Ex 4'!$R$4:$R$13</c:f>
              <c:numCache>
                <c:formatCode>General</c:formatCode>
                <c:ptCount val="10"/>
                <c:pt idx="0">
                  <c:v>-0.11481897774715177</c:v>
                </c:pt>
                <c:pt idx="1">
                  <c:v>0.12190900247253955</c:v>
                </c:pt>
                <c:pt idx="2">
                  <c:v>-9.791192087876377E-2</c:v>
                </c:pt>
                <c:pt idx="3">
                  <c:v>-2.5728953021765477E-2</c:v>
                </c:pt>
                <c:pt idx="4">
                  <c:v>0.16754306675854291</c:v>
                </c:pt>
                <c:pt idx="5">
                  <c:v>-3.263600989015325E-2</c:v>
                </c:pt>
                <c:pt idx="6">
                  <c:v>-1.4818977747151685E-2</c:v>
                </c:pt>
                <c:pt idx="7">
                  <c:v>-6.4092943131611513E-2</c:v>
                </c:pt>
                <c:pt idx="8">
                  <c:v>9.4638928296380875E-2</c:v>
                </c:pt>
                <c:pt idx="9">
                  <c:v>-3.4083215110857878E-2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EBE-4F1A-81FC-CC7E46EDE3E3}"/>
            </c:ext>
          </c:extLst>
        </c:ser>
        <c:ser>
          <c:idx val="1"/>
          <c:order val="1"/>
          <c:tx>
            <c:v>Male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'Ex 4'!$Q$14:$Q$24</c:f>
              <c:numCache>
                <c:formatCode>General</c:formatCode>
                <c:ptCount val="11"/>
                <c:pt idx="0">
                  <c:v>3.6011519597908466</c:v>
                </c:pt>
                <c:pt idx="1">
                  <c:v>3.4847918608893025</c:v>
                </c:pt>
                <c:pt idx="2">
                  <c:v>3.5255178955048425</c:v>
                </c:pt>
                <c:pt idx="3">
                  <c:v>3.4237028089659916</c:v>
                </c:pt>
                <c:pt idx="4">
                  <c:v>3.4644288435815325</c:v>
                </c:pt>
                <c:pt idx="5">
                  <c:v>3.2840706902841381</c:v>
                </c:pt>
                <c:pt idx="6">
                  <c:v>3.5167908880872272</c:v>
                </c:pt>
                <c:pt idx="7">
                  <c:v>3.2898886952292159</c:v>
                </c:pt>
                <c:pt idx="8">
                  <c:v>3.4120667990758369</c:v>
                </c:pt>
                <c:pt idx="9">
                  <c:v>3.3800677718779122</c:v>
                </c:pt>
                <c:pt idx="10">
                  <c:v>3.3975217867131438</c:v>
                </c:pt>
              </c:numCache>
            </c:numRef>
          </c:xVal>
          <c:yVal>
            <c:numRef>
              <c:f>'Ex 4'!$R$14:$R$24</c:f>
              <c:numCache>
                <c:formatCode>General</c:formatCode>
                <c:ptCount val="11"/>
                <c:pt idx="0">
                  <c:v>0.31884804020915336</c:v>
                </c:pt>
                <c:pt idx="1">
                  <c:v>-0.32479186088930234</c:v>
                </c:pt>
                <c:pt idx="2">
                  <c:v>5.4482104495157557E-2</c:v>
                </c:pt>
                <c:pt idx="3">
                  <c:v>-0.20370280896599136</c:v>
                </c:pt>
                <c:pt idx="4">
                  <c:v>-0.16442884358153265</c:v>
                </c:pt>
                <c:pt idx="5">
                  <c:v>-0.15407069028413822</c:v>
                </c:pt>
                <c:pt idx="6">
                  <c:v>-5.6790888087227209E-2</c:v>
                </c:pt>
                <c:pt idx="7">
                  <c:v>0.35011130477078423</c:v>
                </c:pt>
                <c:pt idx="8">
                  <c:v>0.13793320092416295</c:v>
                </c:pt>
                <c:pt idx="9">
                  <c:v>0.33993222812208801</c:v>
                </c:pt>
                <c:pt idx="10">
                  <c:v>-0.29752178671314367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EBE-4F1A-81FC-CC7E46EDE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693768"/>
        <c:axId val="481694160"/>
      </c:scatterChart>
      <c:valAx>
        <c:axId val="4816937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Forecasted Stress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1694160"/>
        <c:crosses val="autoZero"/>
        <c:crossBetween val="midCat"/>
      </c:valAx>
      <c:valAx>
        <c:axId val="481694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Residuals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1693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Female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'Ex 4'!$C$3</c:f>
              <c:strCache>
                <c:ptCount val="1"/>
                <c:pt idx="0">
                  <c:v>Stress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'Ex 4'!$A$4:$A$13</c:f>
              <c:numCache>
                <c:formatCode>0.00</c:formatCode>
                <c:ptCount val="10"/>
                <c:pt idx="0">
                  <c:v>5.08</c:v>
                </c:pt>
                <c:pt idx="1">
                  <c:v>5.16</c:v>
                </c:pt>
                <c:pt idx="2">
                  <c:v>4.8499999999999996</c:v>
                </c:pt>
                <c:pt idx="3">
                  <c:v>4.9800000000000004</c:v>
                </c:pt>
                <c:pt idx="4">
                  <c:v>4.9000000000000004</c:v>
                </c:pt>
                <c:pt idx="5">
                  <c:v>5.21</c:v>
                </c:pt>
                <c:pt idx="6">
                  <c:v>5.08</c:v>
                </c:pt>
                <c:pt idx="7">
                  <c:v>4.9400000000000004</c:v>
                </c:pt>
                <c:pt idx="8">
                  <c:v>5.46</c:v>
                </c:pt>
                <c:pt idx="9">
                  <c:v>6.04</c:v>
                </c:pt>
              </c:numCache>
            </c:numRef>
          </c:xVal>
          <c:yVal>
            <c:numRef>
              <c:f>'Ex 4'!$C$4:$C$13</c:f>
              <c:numCache>
                <c:formatCode>0.00</c:formatCode>
                <c:ptCount val="10"/>
                <c:pt idx="0">
                  <c:v>3.35</c:v>
                </c:pt>
                <c:pt idx="1">
                  <c:v>3.61</c:v>
                </c:pt>
                <c:pt idx="2">
                  <c:v>3.3</c:v>
                </c:pt>
                <c:pt idx="3">
                  <c:v>3.41</c:v>
                </c:pt>
                <c:pt idx="4">
                  <c:v>3.58</c:v>
                </c:pt>
                <c:pt idx="5">
                  <c:v>3.47</c:v>
                </c:pt>
                <c:pt idx="6">
                  <c:v>3.45</c:v>
                </c:pt>
                <c:pt idx="7">
                  <c:v>3.36</c:v>
                </c:pt>
                <c:pt idx="8">
                  <c:v>3.67</c:v>
                </c:pt>
                <c:pt idx="9">
                  <c:v>3.71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41C-44DD-93DE-87385E41B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694552"/>
        <c:axId val="481696904"/>
      </c:scatterChart>
      <c:valAx>
        <c:axId val="481694552"/>
        <c:scaling>
          <c:orientation val="minMax"/>
          <c:max val="6.1"/>
          <c:min val="4.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1696904"/>
        <c:crosses val="autoZero"/>
        <c:crossBetween val="midCat"/>
      </c:valAx>
      <c:valAx>
        <c:axId val="481696904"/>
        <c:scaling>
          <c:orientation val="minMax"/>
          <c:max val="3.8"/>
          <c:min val="3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1694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'Ex 4'!$A$14:$A$24</c:f>
              <c:numCache>
                <c:formatCode>0.00</c:formatCode>
                <c:ptCount val="11"/>
                <c:pt idx="0">
                  <c:v>6.41</c:v>
                </c:pt>
                <c:pt idx="1">
                  <c:v>6.01</c:v>
                </c:pt>
                <c:pt idx="2">
                  <c:v>6.15</c:v>
                </c:pt>
                <c:pt idx="3">
                  <c:v>5.8</c:v>
                </c:pt>
                <c:pt idx="4">
                  <c:v>5.94</c:v>
                </c:pt>
                <c:pt idx="5">
                  <c:v>5.32</c:v>
                </c:pt>
                <c:pt idx="6">
                  <c:v>6.12</c:v>
                </c:pt>
                <c:pt idx="7">
                  <c:v>5.34</c:v>
                </c:pt>
                <c:pt idx="8">
                  <c:v>5.76</c:v>
                </c:pt>
                <c:pt idx="9">
                  <c:v>5.65</c:v>
                </c:pt>
                <c:pt idx="10">
                  <c:v>5.71</c:v>
                </c:pt>
              </c:numCache>
            </c:numRef>
          </c:xVal>
          <c:yVal>
            <c:numRef>
              <c:f>'Ex 4'!$C$14:$C$24</c:f>
              <c:numCache>
                <c:formatCode>0.00</c:formatCode>
                <c:ptCount val="11"/>
                <c:pt idx="0">
                  <c:v>3.92</c:v>
                </c:pt>
                <c:pt idx="1">
                  <c:v>3.16</c:v>
                </c:pt>
                <c:pt idx="2">
                  <c:v>3.58</c:v>
                </c:pt>
                <c:pt idx="3">
                  <c:v>3.22</c:v>
                </c:pt>
                <c:pt idx="4">
                  <c:v>3.3</c:v>
                </c:pt>
                <c:pt idx="5">
                  <c:v>3.13</c:v>
                </c:pt>
                <c:pt idx="6">
                  <c:v>3.46</c:v>
                </c:pt>
                <c:pt idx="7">
                  <c:v>3.64</c:v>
                </c:pt>
                <c:pt idx="8">
                  <c:v>3.55</c:v>
                </c:pt>
                <c:pt idx="9">
                  <c:v>3.72</c:v>
                </c:pt>
                <c:pt idx="10">
                  <c:v>3.1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8B2-4E93-BE39-3DBCF7961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700040"/>
        <c:axId val="481693376"/>
      </c:scatterChart>
      <c:valAx>
        <c:axId val="481700040"/>
        <c:scaling>
          <c:orientation val="minMax"/>
          <c:max val="6.5"/>
          <c:min val="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1693376"/>
        <c:crosses val="autoZero"/>
        <c:crossBetween val="midCat"/>
      </c:valAx>
      <c:valAx>
        <c:axId val="481693376"/>
        <c:scaling>
          <c:orientation val="minMax"/>
          <c:max val="4.5"/>
          <c:min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17000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257175</xdr:colOff>
      <xdr:row>3</xdr:row>
      <xdr:rowOff>138112</xdr:rowOff>
    </xdr:from>
    <xdr:to>
      <xdr:col>37</xdr:col>
      <xdr:colOff>561975</xdr:colOff>
      <xdr:row>17</xdr:row>
      <xdr:rowOff>71437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DD1A108-A84F-4E91-8EE6-5E04F88ED7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95250</xdr:colOff>
      <xdr:row>1</xdr:row>
      <xdr:rowOff>119062</xdr:rowOff>
    </xdr:from>
    <xdr:to>
      <xdr:col>9</xdr:col>
      <xdr:colOff>400050</xdr:colOff>
      <xdr:row>15</xdr:row>
      <xdr:rowOff>61912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A3202FB-6742-4BCB-B474-62F681B3A5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304800</xdr:colOff>
      <xdr:row>19</xdr:row>
      <xdr:rowOff>185737</xdr:rowOff>
    </xdr:from>
    <xdr:to>
      <xdr:col>20</xdr:col>
      <xdr:colOff>0</xdr:colOff>
      <xdr:row>34</xdr:row>
      <xdr:rowOff>71437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C1B7403-F52B-4E62-9BFB-7B71F2C59C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428625</xdr:colOff>
      <xdr:row>3</xdr:row>
      <xdr:rowOff>100012</xdr:rowOff>
    </xdr:from>
    <xdr:to>
      <xdr:col>26</xdr:col>
      <xdr:colOff>123825</xdr:colOff>
      <xdr:row>17</xdr:row>
      <xdr:rowOff>128587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9C5D613-D04F-45D2-A402-B7E83133A3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342900</xdr:colOff>
      <xdr:row>25</xdr:row>
      <xdr:rowOff>176212</xdr:rowOff>
    </xdr:from>
    <xdr:to>
      <xdr:col>11</xdr:col>
      <xdr:colOff>123825</xdr:colOff>
      <xdr:row>40</xdr:row>
      <xdr:rowOff>61912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3F9EA28-A41C-4B36-939F-EDE5695546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361950</xdr:colOff>
      <xdr:row>25</xdr:row>
      <xdr:rowOff>138112</xdr:rowOff>
    </xdr:from>
    <xdr:to>
      <xdr:col>19</xdr:col>
      <xdr:colOff>57150</xdr:colOff>
      <xdr:row>40</xdr:row>
      <xdr:rowOff>23812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EC314C-73B4-426E-BCFF-374C2E8FE6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Examples%20Regression%201%2018%20April%202022.xlsx" TargetMode="External"/><Relationship Id="rId1" Type="http://schemas.openxmlformats.org/officeDocument/2006/relationships/externalLinkPath" Target="/38f5cd2f1f925cfd/Documenti/A%20Real%20Statistics%202020/Examples/Real%20Statistics%20Examples%20Regression%201%2018%20April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arles\AppData\Roaming\Microsoft\AddIns\XRealStatsX.xlam" TargetMode="External"/><Relationship Id="rId1" Type="http://schemas.openxmlformats.org/officeDocument/2006/relationships/externalLinkPath" Target="file:///C:\Users\Charles\AppData\Roaming\Microsoft\AddIns\XRealStatsX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Reg 1"/>
      <sheetName val="Reg 2"/>
      <sheetName val="Reg 3"/>
      <sheetName val="Reg 4"/>
      <sheetName val="Reg 5"/>
      <sheetName val="Reg 6"/>
      <sheetName val="Reg 7"/>
      <sheetName val="Exp Reg"/>
      <sheetName val="Exp Reg1"/>
      <sheetName val="Exp Reg2"/>
      <sheetName val="Exp Reg3"/>
      <sheetName val="Exp Reg4"/>
      <sheetName val="Exp Reg5"/>
      <sheetName val="Pow Reg"/>
      <sheetName val="Reg T 1"/>
      <sheetName val="Reg T 1A"/>
      <sheetName val="Reg T 2"/>
      <sheetName val="Reg T 2A"/>
      <sheetName val="TReg"/>
      <sheetName val="Dem 1"/>
      <sheetName val="Dem 2"/>
      <sheetName val="Dem 3"/>
      <sheetName val="Dem 4"/>
      <sheetName val="Dem 5"/>
      <sheetName val="Dem 6"/>
      <sheetName val="Dem 7"/>
      <sheetName val="Dem 8"/>
      <sheetName val="PB"/>
      <sheetName val="Mult Reg 1"/>
      <sheetName val="Mult Reg 2"/>
      <sheetName val="Mult Reg 2A"/>
      <sheetName val="Mult Reg 2B"/>
      <sheetName val="Mult Reg 3"/>
      <sheetName val="Mult Reg 4"/>
      <sheetName val="Mult Reg 4A"/>
      <sheetName val="Mult Reg 5"/>
      <sheetName val="Mult Reg 5A"/>
      <sheetName val="Mult Reg 5B"/>
      <sheetName val="Mult Reg 5C"/>
      <sheetName val="Mult Reg 6"/>
      <sheetName val="Mult Reg 6A"/>
      <sheetName val="Mult Reg 6B"/>
      <sheetName val="Mult Reg 6C"/>
      <sheetName val="Mult Reg 7"/>
      <sheetName val="Mult Reg 8"/>
      <sheetName val="Mult Reg 8a"/>
      <sheetName val="Stepwise 1"/>
      <sheetName val="Stepwise 2"/>
      <sheetName val="Season"/>
      <sheetName val="Shapely"/>
      <sheetName val="MCorr"/>
      <sheetName val="Mult Reg Pow"/>
      <sheetName val="Mult Reg Pow 1"/>
      <sheetName val="Mult Reg Pow 2"/>
      <sheetName val="Poly Reg"/>
      <sheetName val="Poly Reg 1"/>
      <sheetName val="Poly Reg 2"/>
      <sheetName val="Poly Reg 3"/>
      <sheetName val="Poly Reg 4"/>
      <sheetName val="Log Reg"/>
      <sheetName val="Interaction Reg"/>
      <sheetName val="Slopes"/>
      <sheetName val="LAD 1"/>
      <sheetName val="LAD 2"/>
      <sheetName val="LAD 3"/>
      <sheetName val="LAD 4"/>
      <sheetName val="LAD 5"/>
      <sheetName val="Lp Reg A"/>
      <sheetName val="Lp Reg B"/>
      <sheetName val="TLS Reg"/>
      <sheetName val="Reg Anova 1"/>
      <sheetName val="Reg Anova 2"/>
      <sheetName val="Reg Anova 3"/>
      <sheetName val="Reg Anova 4"/>
      <sheetName val="Reg Anova 5"/>
      <sheetName val="Reg An3.1"/>
      <sheetName val="Reg An3.2"/>
      <sheetName val="ANOVA Match 2.5"/>
      <sheetName val="ANOVA Match 2.5A"/>
      <sheetName val="ANOVA Match 2.5B"/>
      <sheetName val="Res 1"/>
      <sheetName val="Res 2"/>
      <sheetName val="Res 3"/>
      <sheetName val="Res 4"/>
      <sheetName val="Cooks 1"/>
      <sheetName val="Cooks 2"/>
      <sheetName val="Cooks 3"/>
      <sheetName val="Reg No Const"/>
      <sheetName val="Reg No Const 1"/>
      <sheetName val="Heter 1"/>
      <sheetName val="Heter 2"/>
      <sheetName val="Heter 3"/>
      <sheetName val="Heter 4"/>
      <sheetName val="Heter 5"/>
      <sheetName val="WReg A"/>
      <sheetName val="WReg B"/>
      <sheetName val="WReg C"/>
      <sheetName val="WReg D"/>
      <sheetName val="WReg E"/>
      <sheetName val="WReg B0"/>
      <sheetName val="WReg0"/>
      <sheetName val="Robust"/>
      <sheetName val="Autocorr"/>
      <sheetName val="Runs"/>
      <sheetName val="Durbin"/>
      <sheetName val="BG"/>
      <sheetName val="FGLS 1"/>
      <sheetName val="FGLS 2"/>
      <sheetName val="OC"/>
      <sheetName val="OC 1"/>
      <sheetName val="Newey"/>
      <sheetName val="Newey 1"/>
      <sheetName val="Collinearity"/>
      <sheetName val="VIF"/>
      <sheetName val="Ridge 1"/>
      <sheetName val="Ridge 2"/>
      <sheetName val="Ridge 3"/>
      <sheetName val="LASSO"/>
      <sheetName val="Med"/>
      <sheetName val="CV"/>
      <sheetName val="DW Table 1"/>
      <sheetName val="DW Table 2"/>
      <sheetName val="DW Table 3"/>
      <sheetName val="DW Table 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>
        <row r="3">
          <cell r="B3" t="str">
            <v>Clients</v>
          </cell>
        </row>
        <row r="4">
          <cell r="A4">
            <v>26</v>
          </cell>
          <cell r="B4">
            <v>61</v>
          </cell>
        </row>
        <row r="5">
          <cell r="A5">
            <v>24</v>
          </cell>
          <cell r="B5">
            <v>59</v>
          </cell>
          <cell r="W5" t="str">
            <v>Residual</v>
          </cell>
        </row>
        <row r="6">
          <cell r="A6">
            <v>32</v>
          </cell>
          <cell r="B6">
            <v>74</v>
          </cell>
          <cell r="T6">
            <v>26</v>
          </cell>
          <cell r="W6">
            <v>-0.22689075630251665</v>
          </cell>
        </row>
        <row r="7">
          <cell r="A7">
            <v>20</v>
          </cell>
          <cell r="B7">
            <v>39</v>
          </cell>
          <cell r="T7">
            <v>24</v>
          </cell>
          <cell r="W7">
            <v>4.6134453781512619</v>
          </cell>
        </row>
        <row r="8">
          <cell r="A8">
            <v>24</v>
          </cell>
          <cell r="B8">
            <v>51</v>
          </cell>
          <cell r="T8">
            <v>32</v>
          </cell>
          <cell r="W8">
            <v>-7.7478991596638593</v>
          </cell>
        </row>
        <row r="9">
          <cell r="A9">
            <v>27</v>
          </cell>
          <cell r="B9">
            <v>59</v>
          </cell>
          <cell r="T9">
            <v>20</v>
          </cell>
          <cell r="W9">
            <v>-1.7058823529411811</v>
          </cell>
        </row>
        <row r="10">
          <cell r="A10">
            <v>20</v>
          </cell>
          <cell r="B10">
            <v>44</v>
          </cell>
          <cell r="T10">
            <v>24</v>
          </cell>
          <cell r="W10">
            <v>-3.3865546218487381</v>
          </cell>
        </row>
        <row r="11">
          <cell r="A11">
            <v>23</v>
          </cell>
          <cell r="B11">
            <v>52</v>
          </cell>
          <cell r="T11">
            <v>27</v>
          </cell>
          <cell r="W11">
            <v>-5.6470588235293917</v>
          </cell>
        </row>
        <row r="12">
          <cell r="A12">
            <v>29</v>
          </cell>
          <cell r="B12">
            <v>81</v>
          </cell>
          <cell r="T12">
            <v>20</v>
          </cell>
          <cell r="W12">
            <v>3.2941176470588189</v>
          </cell>
        </row>
        <row r="13">
          <cell r="A13">
            <v>22</v>
          </cell>
          <cell r="B13">
            <v>46</v>
          </cell>
          <cell r="T13">
            <v>23</v>
          </cell>
          <cell r="W13">
            <v>1.0336134453781582</v>
          </cell>
        </row>
        <row r="14">
          <cell r="A14">
            <v>28</v>
          </cell>
          <cell r="B14">
            <v>74</v>
          </cell>
          <cell r="T14">
            <v>29</v>
          </cell>
          <cell r="W14">
            <v>9.5126050420168156</v>
          </cell>
        </row>
        <row r="15">
          <cell r="A15">
            <v>21</v>
          </cell>
          <cell r="B15">
            <v>40</v>
          </cell>
          <cell r="T15">
            <v>22</v>
          </cell>
          <cell r="W15">
            <v>-1.5462184873949596</v>
          </cell>
        </row>
        <row r="16">
          <cell r="T16">
            <v>28</v>
          </cell>
          <cell r="W16">
            <v>5.9327731092436977</v>
          </cell>
        </row>
        <row r="17">
          <cell r="T17">
            <v>21</v>
          </cell>
          <cell r="W17">
            <v>-4.1260504201680632</v>
          </cell>
        </row>
      </sheetData>
      <sheetData sheetId="99">
        <row r="3">
          <cell r="R3" t="str">
            <v>Res</v>
          </cell>
        </row>
        <row r="4">
          <cell r="Q4">
            <v>55.026564295334694</v>
          </cell>
          <cell r="R4">
            <v>9.9734357046653059</v>
          </cell>
        </row>
        <row r="5">
          <cell r="Q5">
            <v>42.689423742742569</v>
          </cell>
          <cell r="R5">
            <v>-4.6894237427425693</v>
          </cell>
        </row>
        <row r="6">
          <cell r="Q6">
            <v>56.567118409338214</v>
          </cell>
          <cell r="R6">
            <v>-5.5671184093382138</v>
          </cell>
        </row>
        <row r="7">
          <cell r="Q7">
            <v>44.619881750458461</v>
          </cell>
          <cell r="R7">
            <v>-6.6198817504584611</v>
          </cell>
        </row>
        <row r="8">
          <cell r="Q8">
            <v>57.340572376480964</v>
          </cell>
          <cell r="R8">
            <v>-2.3405723764809636</v>
          </cell>
        </row>
        <row r="9">
          <cell r="Q9">
            <v>41.14886962873905</v>
          </cell>
          <cell r="R9">
            <v>1.8511303712609504</v>
          </cell>
        </row>
        <row r="10">
          <cell r="Q10">
            <v>22.259608726420481</v>
          </cell>
          <cell r="R10">
            <v>-2.2596087264204812</v>
          </cell>
        </row>
        <row r="11">
          <cell r="Q11">
            <v>63.892692726207414</v>
          </cell>
          <cell r="R11">
            <v>1.1073072737925855</v>
          </cell>
        </row>
        <row r="12">
          <cell r="Q12">
            <v>19.562050571843827</v>
          </cell>
          <cell r="R12">
            <v>0.43794942815617333</v>
          </cell>
        </row>
        <row r="13">
          <cell r="Q13">
            <v>24.957166880997136</v>
          </cell>
          <cell r="R13">
            <v>1.0428331190028644</v>
          </cell>
        </row>
        <row r="14">
          <cell r="Q14">
            <v>20.719054612416969</v>
          </cell>
          <cell r="R14">
            <v>4.2809453875830314</v>
          </cell>
        </row>
        <row r="15">
          <cell r="Q15">
            <v>33.823295311869856</v>
          </cell>
          <cell r="R15">
            <v>-0.82329531186985605</v>
          </cell>
        </row>
        <row r="16">
          <cell r="Q16">
            <v>67.747254921357211</v>
          </cell>
          <cell r="R16">
            <v>3.2527450786427892</v>
          </cell>
        </row>
        <row r="17">
          <cell r="Q17">
            <v>46.160435864461974</v>
          </cell>
          <cell r="R17">
            <v>4.8395641355380263</v>
          </cell>
        </row>
        <row r="18">
          <cell r="Q18">
            <v>53.486010181331174</v>
          </cell>
          <cell r="R18">
            <v>-4.4860101813311744</v>
          </cell>
        </row>
      </sheetData>
      <sheetData sheetId="100">
        <row r="3">
          <cell r="C3" t="str">
            <v>Stress</v>
          </cell>
        </row>
        <row r="4">
          <cell r="A4">
            <v>5.08</v>
          </cell>
          <cell r="C4">
            <v>3.35</v>
          </cell>
          <cell r="Q4">
            <v>3.4648189777471519</v>
          </cell>
          <cell r="R4">
            <v>-0.11481897774715177</v>
          </cell>
        </row>
        <row r="5">
          <cell r="A5">
            <v>5.16</v>
          </cell>
          <cell r="C5">
            <v>3.61</v>
          </cell>
          <cell r="Q5">
            <v>3.4880909975274603</v>
          </cell>
          <cell r="R5">
            <v>0.12190900247253955</v>
          </cell>
        </row>
        <row r="6">
          <cell r="A6">
            <v>4.8499999999999996</v>
          </cell>
          <cell r="C6">
            <v>3.3</v>
          </cell>
          <cell r="Q6">
            <v>3.3979119208787636</v>
          </cell>
          <cell r="R6">
            <v>-9.791192087876377E-2</v>
          </cell>
        </row>
        <row r="7">
          <cell r="A7">
            <v>4.9800000000000004</v>
          </cell>
          <cell r="C7">
            <v>3.41</v>
          </cell>
          <cell r="Q7">
            <v>3.4357289530217656</v>
          </cell>
          <cell r="R7">
            <v>-2.5728953021765477E-2</v>
          </cell>
        </row>
        <row r="8">
          <cell r="A8">
            <v>4.9000000000000004</v>
          </cell>
          <cell r="C8">
            <v>3.58</v>
          </cell>
          <cell r="Q8">
            <v>3.4124569332414572</v>
          </cell>
          <cell r="R8">
            <v>0.16754306675854291</v>
          </cell>
        </row>
        <row r="9">
          <cell r="A9">
            <v>5.21</v>
          </cell>
          <cell r="C9">
            <v>3.47</v>
          </cell>
          <cell r="Q9">
            <v>3.5026360098901534</v>
          </cell>
          <cell r="R9">
            <v>-3.263600989015325E-2</v>
          </cell>
        </row>
        <row r="10">
          <cell r="A10">
            <v>5.08</v>
          </cell>
          <cell r="C10">
            <v>3.45</v>
          </cell>
          <cell r="Q10">
            <v>3.4648189777471519</v>
          </cell>
          <cell r="R10">
            <v>-1.4818977747151685E-2</v>
          </cell>
        </row>
        <row r="11">
          <cell r="A11">
            <v>4.9400000000000004</v>
          </cell>
          <cell r="C11">
            <v>3.36</v>
          </cell>
          <cell r="Q11">
            <v>3.4240929431316114</v>
          </cell>
          <cell r="R11">
            <v>-6.4092943131611513E-2</v>
          </cell>
        </row>
        <row r="12">
          <cell r="A12">
            <v>5.46</v>
          </cell>
          <cell r="C12">
            <v>3.67</v>
          </cell>
          <cell r="Q12">
            <v>3.5753610717036191</v>
          </cell>
          <cell r="R12">
            <v>9.4638928296380875E-2</v>
          </cell>
        </row>
        <row r="13">
          <cell r="A13">
            <v>6.04</v>
          </cell>
          <cell r="C13">
            <v>3.71</v>
          </cell>
          <cell r="Q13">
            <v>3.7440832151108578</v>
          </cell>
          <cell r="R13">
            <v>-3.4083215110857878E-2</v>
          </cell>
        </row>
        <row r="14">
          <cell r="A14">
            <v>6.41</v>
          </cell>
          <cell r="C14">
            <v>3.92</v>
          </cell>
          <cell r="Q14">
            <v>3.6011519597908466</v>
          </cell>
          <cell r="R14">
            <v>0.31884804020915336</v>
          </cell>
        </row>
        <row r="15">
          <cell r="A15">
            <v>6.01</v>
          </cell>
          <cell r="C15">
            <v>3.16</v>
          </cell>
          <cell r="Q15">
            <v>3.4847918608893025</v>
          </cell>
          <cell r="R15">
            <v>-0.32479186088930234</v>
          </cell>
        </row>
        <row r="16">
          <cell r="A16">
            <v>6.15</v>
          </cell>
          <cell r="C16">
            <v>3.58</v>
          </cell>
          <cell r="Q16">
            <v>3.5255178955048425</v>
          </cell>
          <cell r="R16">
            <v>5.4482104495157557E-2</v>
          </cell>
        </row>
        <row r="17">
          <cell r="A17">
            <v>5.8</v>
          </cell>
          <cell r="C17">
            <v>3.22</v>
          </cell>
          <cell r="Q17">
            <v>3.4237028089659916</v>
          </cell>
          <cell r="R17">
            <v>-0.20370280896599136</v>
          </cell>
        </row>
        <row r="18">
          <cell r="A18">
            <v>5.94</v>
          </cell>
          <cell r="C18">
            <v>3.3</v>
          </cell>
          <cell r="Q18">
            <v>3.4644288435815325</v>
          </cell>
          <cell r="R18">
            <v>-0.16442884358153265</v>
          </cell>
        </row>
        <row r="19">
          <cell r="A19">
            <v>5.32</v>
          </cell>
          <cell r="C19">
            <v>3.13</v>
          </cell>
          <cell r="Q19">
            <v>3.2840706902841381</v>
          </cell>
          <cell r="R19">
            <v>-0.15407069028413822</v>
          </cell>
        </row>
        <row r="20">
          <cell r="A20">
            <v>6.12</v>
          </cell>
          <cell r="C20">
            <v>3.46</v>
          </cell>
          <cell r="Q20">
            <v>3.5167908880872272</v>
          </cell>
          <cell r="R20">
            <v>-5.6790888087227209E-2</v>
          </cell>
        </row>
        <row r="21">
          <cell r="A21">
            <v>5.34</v>
          </cell>
          <cell r="C21">
            <v>3.64</v>
          </cell>
          <cell r="Q21">
            <v>3.2898886952292159</v>
          </cell>
          <cell r="R21">
            <v>0.35011130477078423</v>
          </cell>
        </row>
        <row r="22">
          <cell r="A22">
            <v>5.76</v>
          </cell>
          <cell r="C22">
            <v>3.55</v>
          </cell>
          <cell r="Q22">
            <v>3.4120667990758369</v>
          </cell>
          <cell r="R22">
            <v>0.13793320092416295</v>
          </cell>
        </row>
        <row r="23">
          <cell r="A23">
            <v>5.65</v>
          </cell>
          <cell r="C23">
            <v>3.72</v>
          </cell>
          <cell r="Q23">
            <v>3.3800677718779122</v>
          </cell>
          <cell r="R23">
            <v>0.33993222812208801</v>
          </cell>
        </row>
        <row r="24">
          <cell r="A24">
            <v>5.71</v>
          </cell>
          <cell r="C24">
            <v>3.1</v>
          </cell>
          <cell r="Q24">
            <v>3.3975217867131438</v>
          </cell>
          <cell r="R24">
            <v>-0.29752178671314367</v>
          </cell>
        </row>
      </sheetData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L4 2"/>
      <sheetName val="L8 2"/>
      <sheetName val="L8 42"/>
      <sheetName val="L9 3"/>
      <sheetName val="L12 2"/>
      <sheetName val="L16 2"/>
      <sheetName val="L16 4"/>
      <sheetName val="L16 42a"/>
      <sheetName val="L18 23"/>
      <sheetName val="L18 63"/>
      <sheetName val="L25 5"/>
      <sheetName val="L27 3"/>
      <sheetName val="L32 2"/>
      <sheetName val="L32 24"/>
      <sheetName val="L36 23a"/>
      <sheetName val="L36 23b"/>
      <sheetName val="L50 25"/>
      <sheetName val="L54 23"/>
      <sheetName val="L64 4"/>
      <sheetName val="T2"/>
      <sheetName val="T3"/>
      <sheetName val="T4"/>
      <sheetName val="Roy"/>
      <sheetName val="Pillai"/>
      <sheetName val="Wilk"/>
      <sheetName val="Hotel"/>
    </sheetNames>
    <definedNames>
      <definedName name="DEsign"/>
      <definedName name="LEVERAGE"/>
      <definedName name="RegCoeff"/>
      <definedName name="VIF"/>
      <definedName name="WRegCoeff"/>
      <definedName name="WRSquare"/>
      <definedName name="WVIF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4610A-6DC1-48FB-9AB3-8B098D68D77F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71</v>
      </c>
    </row>
    <row r="2" spans="1:13" x14ac:dyDescent="0.35">
      <c r="A2" t="s">
        <v>74</v>
      </c>
    </row>
    <row r="4" spans="1:13" x14ac:dyDescent="0.35">
      <c r="A4" t="s">
        <v>72</v>
      </c>
      <c r="B4" s="36">
        <v>46031</v>
      </c>
    </row>
    <row r="6" spans="1:13" x14ac:dyDescent="0.35">
      <c r="A6" s="37" t="s">
        <v>73</v>
      </c>
    </row>
    <row r="10" spans="1:13" ht="18.5" x14ac:dyDescent="0.45">
      <c r="M10" s="3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5F93A-C653-45EB-89A3-77B85FED6262}">
  <sheetPr codeName="Sheet14"/>
  <dimension ref="A1:P20"/>
  <sheetViews>
    <sheetView workbookViewId="0"/>
  </sheetViews>
  <sheetFormatPr defaultRowHeight="14.5" x14ac:dyDescent="0.35"/>
  <cols>
    <col min="1" max="1" width="6.54296875" customWidth="1"/>
    <col min="2" max="3" width="9" customWidth="1"/>
    <col min="4" max="4" width="11.453125" customWidth="1"/>
    <col min="5" max="5" width="3" customWidth="1"/>
    <col min="6" max="7" width="10" customWidth="1"/>
    <col min="8" max="8" width="11.453125" customWidth="1"/>
    <col min="10" max="10" width="16.1796875" customWidth="1"/>
  </cols>
  <sheetData>
    <row r="1" spans="1:16" x14ac:dyDescent="0.35">
      <c r="A1" s="1" t="s">
        <v>0</v>
      </c>
    </row>
    <row r="3" spans="1:16" x14ac:dyDescent="0.35">
      <c r="A3" s="2" t="s">
        <v>1</v>
      </c>
      <c r="B3" s="2"/>
      <c r="C3" s="2"/>
      <c r="D3" s="2"/>
      <c r="E3" s="3"/>
      <c r="F3" s="2" t="s">
        <v>2</v>
      </c>
      <c r="G3" s="2"/>
      <c r="H3" s="2"/>
      <c r="J3" t="s">
        <v>3</v>
      </c>
    </row>
    <row r="4" spans="1:16" x14ac:dyDescent="0.35">
      <c r="A4" s="4" t="s">
        <v>4</v>
      </c>
      <c r="B4" s="5" t="s">
        <v>5</v>
      </c>
      <c r="C4" s="5" t="s">
        <v>6</v>
      </c>
      <c r="D4" s="6" t="s">
        <v>7</v>
      </c>
      <c r="E4" s="7"/>
      <c r="F4" s="4" t="s">
        <v>8</v>
      </c>
      <c r="G4" s="5" t="s">
        <v>9</v>
      </c>
      <c r="H4" s="6" t="s">
        <v>10</v>
      </c>
    </row>
    <row r="5" spans="1:16" ht="15" thickBot="1" x14ac:dyDescent="0.4">
      <c r="A5" s="8">
        <v>1</v>
      </c>
      <c r="B5" s="9">
        <v>2</v>
      </c>
      <c r="C5" s="9">
        <v>25</v>
      </c>
      <c r="D5" s="10">
        <f>LN(AVERAGE(B5,C5))</f>
        <v>2.6026896854443837</v>
      </c>
      <c r="F5" s="11">
        <v>266.7</v>
      </c>
      <c r="G5">
        <v>60.5</v>
      </c>
      <c r="H5" s="12">
        <f>1/G5^2</f>
        <v>2.7320538214602825E-4</v>
      </c>
      <c r="J5" s="13" t="s">
        <v>11</v>
      </c>
      <c r="K5" s="13"/>
      <c r="M5" s="13"/>
      <c r="N5" s="13"/>
    </row>
    <row r="6" spans="1:16" ht="15" thickTop="1" x14ac:dyDescent="0.35">
      <c r="A6" s="11">
        <f>A5+1</f>
        <v>2</v>
      </c>
      <c r="B6">
        <v>25</v>
      </c>
      <c r="C6">
        <v>50</v>
      </c>
      <c r="D6" s="12">
        <f t="shared" ref="D6:D12" si="0">LN(AVERAGE(B6,C6))</f>
        <v>3.6243409329763652</v>
      </c>
      <c r="F6" s="11">
        <v>342.5</v>
      </c>
      <c r="G6">
        <v>68.3</v>
      </c>
      <c r="H6" s="12">
        <f t="shared" ref="H6:H12" si="1">1/G6^2</f>
        <v>2.1436732698948961E-4</v>
      </c>
      <c r="J6" t="s">
        <v>12</v>
      </c>
      <c r="K6">
        <f>SQRT(K7)</f>
        <v>0.97488838070423944</v>
      </c>
      <c r="M6" t="s">
        <v>13</v>
      </c>
      <c r="N6">
        <f>K10*LN(L15/K10)+2*K14</f>
        <v>-9.5067439919847292</v>
      </c>
    </row>
    <row r="7" spans="1:16" x14ac:dyDescent="0.35">
      <c r="A7" s="11">
        <f t="shared" ref="A7:A12" si="2">A6+1</f>
        <v>3</v>
      </c>
      <c r="B7">
        <v>50</v>
      </c>
      <c r="C7">
        <v>100</v>
      </c>
      <c r="D7" s="12">
        <f t="shared" si="0"/>
        <v>4.3174881135363101</v>
      </c>
      <c r="F7" s="11">
        <v>418.1</v>
      </c>
      <c r="G7">
        <v>81.400000000000006</v>
      </c>
      <c r="H7" s="12">
        <f t="shared" si="1"/>
        <v>1.5092152684290273E-4</v>
      </c>
      <c r="J7" t="s">
        <v>14</v>
      </c>
      <c r="K7">
        <f>L14/L16</f>
        <v>0.95040735483213401</v>
      </c>
      <c r="M7" t="s">
        <v>15</v>
      </c>
      <c r="N7">
        <f>N6+2*(K14+1)*(K14+2)/(K10-K14-2)</f>
        <v>-7.1067439919847288</v>
      </c>
    </row>
    <row r="8" spans="1:16" x14ac:dyDescent="0.35">
      <c r="A8" s="11">
        <f t="shared" si="2"/>
        <v>4</v>
      </c>
      <c r="B8">
        <v>100</v>
      </c>
      <c r="C8">
        <v>250</v>
      </c>
      <c r="D8" s="12">
        <f t="shared" si="0"/>
        <v>5.1647859739235145</v>
      </c>
      <c r="F8" s="11">
        <v>494.2</v>
      </c>
      <c r="G8">
        <v>98.8</v>
      </c>
      <c r="H8" s="12">
        <f t="shared" si="1"/>
        <v>1.0244390171941846E-4</v>
      </c>
      <c r="J8" t="s">
        <v>16</v>
      </c>
      <c r="K8">
        <f>1-(1-K7)*K10/(K10-K14)</f>
        <v>0.94332269123672463</v>
      </c>
      <c r="M8" s="14" t="s">
        <v>17</v>
      </c>
      <c r="N8" s="14">
        <f>K10*LN(L15/K10)+K14*LN(K10)</f>
        <v>-9.427302450304893</v>
      </c>
    </row>
    <row r="9" spans="1:16" x14ac:dyDescent="0.35">
      <c r="A9" s="11">
        <f t="shared" si="2"/>
        <v>5</v>
      </c>
      <c r="B9">
        <v>250</v>
      </c>
      <c r="C9">
        <v>500</v>
      </c>
      <c r="D9" s="12">
        <f t="shared" si="0"/>
        <v>5.9269260259704106</v>
      </c>
      <c r="F9" s="11">
        <v>608.29999999999995</v>
      </c>
      <c r="G9">
        <v>110.6</v>
      </c>
      <c r="H9" s="12">
        <f t="shared" si="1"/>
        <v>8.1750373599207352E-5</v>
      </c>
      <c r="J9" t="s">
        <v>18</v>
      </c>
      <c r="K9">
        <f>SQRT(M15)</f>
        <v>0.56251894623617205</v>
      </c>
    </row>
    <row r="10" spans="1:16" x14ac:dyDescent="0.35">
      <c r="A10" s="11">
        <f t="shared" si="2"/>
        <v>6</v>
      </c>
      <c r="B10">
        <v>500</v>
      </c>
      <c r="C10">
        <v>1000</v>
      </c>
      <c r="D10" s="12">
        <f t="shared" si="0"/>
        <v>6.620073206530356</v>
      </c>
      <c r="F10" s="11">
        <v>798.3</v>
      </c>
      <c r="G10">
        <v>145.6</v>
      </c>
      <c r="H10" s="12">
        <f t="shared" si="1"/>
        <v>4.7171235358048554E-5</v>
      </c>
      <c r="J10" s="14" t="s">
        <v>19</v>
      </c>
      <c r="K10" s="14">
        <f>COUNT(F5:F12)</f>
        <v>8</v>
      </c>
    </row>
    <row r="11" spans="1:16" x14ac:dyDescent="0.35">
      <c r="A11" s="11">
        <f t="shared" si="2"/>
        <v>7</v>
      </c>
      <c r="B11">
        <v>1000</v>
      </c>
      <c r="C11">
        <v>5000</v>
      </c>
      <c r="D11" s="12">
        <f t="shared" si="0"/>
        <v>8.0063675676502459</v>
      </c>
      <c r="F11" s="11">
        <v>950.6</v>
      </c>
      <c r="G11">
        <v>173.1</v>
      </c>
      <c r="H11" s="12">
        <f t="shared" si="1"/>
        <v>3.3373815771864611E-5</v>
      </c>
    </row>
    <row r="12" spans="1:16" ht="15" thickBot="1" x14ac:dyDescent="0.4">
      <c r="A12" s="15">
        <f t="shared" si="2"/>
        <v>8</v>
      </c>
      <c r="B12" s="14">
        <v>5000</v>
      </c>
      <c r="C12" s="14">
        <v>10000</v>
      </c>
      <c r="D12" s="16">
        <f t="shared" si="0"/>
        <v>8.9226582995244019</v>
      </c>
      <c r="F12" s="15">
        <v>1216.5</v>
      </c>
      <c r="G12" s="14">
        <v>238.3</v>
      </c>
      <c r="H12" s="16">
        <f t="shared" si="1"/>
        <v>1.7609698294800083E-5</v>
      </c>
      <c r="J12" t="s">
        <v>20</v>
      </c>
      <c r="N12" s="3" t="s">
        <v>21</v>
      </c>
      <c r="O12" s="3">
        <v>0.05</v>
      </c>
    </row>
    <row r="13" spans="1:16" ht="15" thickTop="1" x14ac:dyDescent="0.35">
      <c r="J13" s="17"/>
      <c r="K13" s="17" t="s">
        <v>22</v>
      </c>
      <c r="L13" s="17" t="s">
        <v>23</v>
      </c>
      <c r="M13" s="17" t="s">
        <v>24</v>
      </c>
      <c r="N13" s="17" t="s">
        <v>25</v>
      </c>
      <c r="O13" s="17" t="s">
        <v>26</v>
      </c>
      <c r="P13" s="17" t="s">
        <v>27</v>
      </c>
    </row>
    <row r="14" spans="1:16" x14ac:dyDescent="0.35">
      <c r="J14" t="s">
        <v>28</v>
      </c>
      <c r="K14">
        <f>COUNT(D5)</f>
        <v>1</v>
      </c>
      <c r="L14" cm="1">
        <f t="array" ref="L14">SUMPRODUCT(H5:H12,MMULT([3]!DEsign(D5:D12),K19:K20)^2)-SUMPRODUCT(F5:F12,H5:H12)^2/SUM(H5:H12)</f>
        <v>36.38463936463188</v>
      </c>
      <c r="M14">
        <f>L14/K14</f>
        <v>36.38463936463188</v>
      </c>
      <c r="N14">
        <f>M14/M15</f>
        <v>114.98568204399304</v>
      </c>
      <c r="O14">
        <f>FDIST(N14,K14,K15)</f>
        <v>3.8846209434497611E-5</v>
      </c>
      <c r="P14" s="3" t="str">
        <f>IF(O14&lt;O12,"yes","no")</f>
        <v>yes</v>
      </c>
    </row>
    <row r="15" spans="1:16" x14ac:dyDescent="0.35">
      <c r="J15" t="s">
        <v>29</v>
      </c>
      <c r="K15">
        <f>K16-K14</f>
        <v>6</v>
      </c>
      <c r="L15">
        <f>L16-L14</f>
        <v>1.8985653892479206</v>
      </c>
      <c r="M15">
        <f>L15/K15</f>
        <v>0.31642756487465346</v>
      </c>
    </row>
    <row r="16" spans="1:16" x14ac:dyDescent="0.35">
      <c r="J16" s="14" t="s">
        <v>30</v>
      </c>
      <c r="K16" s="14">
        <f>K10-1</f>
        <v>7</v>
      </c>
      <c r="L16" s="14">
        <f>SUMPRODUCT(F5:F12^2,H5:H12)-SUMPRODUCT(F5:F12,H5:H12)^2/SUM(H5:H12)</f>
        <v>38.283204753879801</v>
      </c>
      <c r="M16" s="14"/>
      <c r="N16" s="14"/>
      <c r="O16" s="14"/>
      <c r="P16" s="14"/>
    </row>
    <row r="17" spans="10:16" ht="15" thickBot="1" x14ac:dyDescent="0.4"/>
    <row r="18" spans="10:16" ht="15" thickTop="1" x14ac:dyDescent="0.35">
      <c r="J18" s="17"/>
      <c r="K18" s="17" t="s">
        <v>31</v>
      </c>
      <c r="L18" s="17" t="s">
        <v>32</v>
      </c>
      <c r="M18" s="17" t="s">
        <v>33</v>
      </c>
      <c r="N18" s="17" t="s">
        <v>26</v>
      </c>
      <c r="O18" s="17" t="s">
        <v>5</v>
      </c>
      <c r="P18" s="17" t="s">
        <v>6</v>
      </c>
    </row>
    <row r="19" spans="10:16" x14ac:dyDescent="0.35">
      <c r="J19" t="s">
        <v>34</v>
      </c>
      <c r="K19">
        <f t="array" ref="K19:L20">[3]!WRegCoeff(D5:D12,F5:F12,H5:H12)</f>
        <v>-100.84563647076402</v>
      </c>
      <c r="L19">
        <v>53.296454187599387</v>
      </c>
      <c r="M19">
        <f>K19/L19</f>
        <v>-1.8921640849838752</v>
      </c>
      <c r="N19">
        <f>TDIST(ABS(M19),$K$15,2)</f>
        <v>0.10732958929222117</v>
      </c>
      <c r="O19">
        <f>K19-TINV(O$12,$K$15)*L19</f>
        <v>-231.2573618464059</v>
      </c>
      <c r="P19">
        <f>K19+TINV(O$12,$K$15)*L19</f>
        <v>29.566088904877859</v>
      </c>
    </row>
    <row r="20" spans="10:16" x14ac:dyDescent="0.35">
      <c r="J20" s="14" t="str">
        <f t="array" ref="J20">TRANSPOSE(D4)</f>
        <v>Ln(mean)</v>
      </c>
      <c r="K20" s="14">
        <v>126.84530925933768</v>
      </c>
      <c r="L20" s="14">
        <v>11.829122487957257</v>
      </c>
      <c r="M20" s="14">
        <f>K20/L20</f>
        <v>10.723137695841233</v>
      </c>
      <c r="N20" s="14">
        <f>TDIST(ABS(M20),$K$15,2)</f>
        <v>3.8846209434518719E-5</v>
      </c>
      <c r="O20" s="14">
        <f>K20-TINV(O$12,$K$15)*L20</f>
        <v>97.900489254909601</v>
      </c>
      <c r="P20" s="14">
        <f>K20+TINV(O$12,$K$15)*L20</f>
        <v>155.79012926376578</v>
      </c>
    </row>
  </sheetData>
  <mergeCells count="2">
    <mergeCell ref="A3:D3"/>
    <mergeCell ref="F3:H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9E132-6926-4CB0-AA0B-94D4C26BF6F3}">
  <sheetPr codeName="Sheet15"/>
  <dimension ref="A1:AY22"/>
  <sheetViews>
    <sheetView workbookViewId="0"/>
  </sheetViews>
  <sheetFormatPr defaultRowHeight="14.5" x14ac:dyDescent="0.35"/>
  <cols>
    <col min="11" max="11" width="16.54296875" customWidth="1"/>
    <col min="19" max="21" width="7.1796875" customWidth="1"/>
    <col min="40" max="40" width="5.453125" style="3" customWidth="1"/>
    <col min="44" max="44" width="4.453125" customWidth="1"/>
    <col min="45" max="45" width="13.453125" customWidth="1"/>
  </cols>
  <sheetData>
    <row r="1" spans="1:51" x14ac:dyDescent="0.35">
      <c r="A1" s="1" t="s">
        <v>35</v>
      </c>
    </row>
    <row r="3" spans="1:51" x14ac:dyDescent="0.35">
      <c r="A3" s="18" t="s">
        <v>36</v>
      </c>
      <c r="B3" s="18" t="s">
        <v>37</v>
      </c>
      <c r="C3" s="19"/>
      <c r="D3" s="19"/>
      <c r="E3" s="19"/>
      <c r="F3" s="19"/>
      <c r="G3" s="19"/>
      <c r="H3" s="19"/>
      <c r="I3" s="19"/>
      <c r="K3" t="s">
        <v>38</v>
      </c>
      <c r="S3" t="s">
        <v>39</v>
      </c>
      <c r="AS3" t="s">
        <v>3</v>
      </c>
    </row>
    <row r="4" spans="1:51" ht="15" thickBot="1" x14ac:dyDescent="0.4">
      <c r="A4" s="20">
        <v>26</v>
      </c>
      <c r="B4" s="20">
        <v>61</v>
      </c>
      <c r="C4" s="21"/>
      <c r="D4" s="21"/>
      <c r="E4" s="21"/>
      <c r="F4" s="21"/>
      <c r="G4" s="21"/>
      <c r="H4" s="21"/>
      <c r="I4" s="21"/>
    </row>
    <row r="5" spans="1:51" ht="15.5" thickTop="1" thickBot="1" x14ac:dyDescent="0.4">
      <c r="A5" s="20">
        <v>24</v>
      </c>
      <c r="B5" s="20">
        <v>59</v>
      </c>
      <c r="C5" s="21"/>
      <c r="D5" s="21"/>
      <c r="E5" s="21"/>
      <c r="F5" s="21"/>
      <c r="G5" s="21"/>
      <c r="H5" s="21"/>
      <c r="I5" s="21"/>
      <c r="K5" s="13" t="s">
        <v>11</v>
      </c>
      <c r="L5" s="13"/>
      <c r="N5" s="13"/>
      <c r="O5" s="13"/>
      <c r="S5" s="17" t="s">
        <v>40</v>
      </c>
      <c r="T5" s="17" t="str">
        <f t="shared" ref="T5:U17" si="0">A3</f>
        <v>Ad</v>
      </c>
      <c r="U5" s="17" t="str">
        <f t="shared" si="0"/>
        <v>Clients</v>
      </c>
      <c r="V5" s="17" t="s">
        <v>41</v>
      </c>
      <c r="W5" s="17" t="s">
        <v>29</v>
      </c>
      <c r="X5" s="17" t="s">
        <v>42</v>
      </c>
      <c r="Y5" s="17" t="s">
        <v>43</v>
      </c>
      <c r="Z5" s="17" t="s">
        <v>44</v>
      </c>
      <c r="AA5" s="17" t="s">
        <v>45</v>
      </c>
      <c r="AB5" s="17" t="s">
        <v>46</v>
      </c>
      <c r="AC5" s="17" t="s">
        <v>39</v>
      </c>
      <c r="AD5" s="17" t="s">
        <v>47</v>
      </c>
      <c r="AN5" s="17" t="str">
        <f t="shared" ref="AN5:AN17" si="1">T5</f>
        <v>Ad</v>
      </c>
      <c r="AO5" s="17" t="s">
        <v>48</v>
      </c>
      <c r="AP5" s="17" t="s">
        <v>49</v>
      </c>
      <c r="AQ5" s="17" t="s">
        <v>50</v>
      </c>
      <c r="AR5" s="22"/>
      <c r="AS5" s="13" t="s">
        <v>11</v>
      </c>
      <c r="AT5" s="13"/>
      <c r="AV5" s="13"/>
      <c r="AW5" s="13"/>
    </row>
    <row r="6" spans="1:51" ht="15" thickTop="1" x14ac:dyDescent="0.35">
      <c r="A6" s="20">
        <v>32</v>
      </c>
      <c r="B6" s="20">
        <v>74</v>
      </c>
      <c r="C6" s="21"/>
      <c r="D6" s="21"/>
      <c r="E6" s="21"/>
      <c r="F6" s="21"/>
      <c r="G6" s="21"/>
      <c r="H6" s="21"/>
      <c r="I6" s="21"/>
      <c r="K6" t="s">
        <v>12</v>
      </c>
      <c r="L6">
        <f>SQRT(L7)</f>
        <v>0.93114169392453316</v>
      </c>
      <c r="N6" t="s">
        <v>13</v>
      </c>
      <c r="O6">
        <f>L10*LN(M15/L10)+2*(L14+1)</f>
        <v>41.996474734618481</v>
      </c>
      <c r="S6">
        <v>1</v>
      </c>
      <c r="T6">
        <f t="shared" si="0"/>
        <v>26</v>
      </c>
      <c r="U6">
        <f t="shared" si="0"/>
        <v>61</v>
      </c>
      <c r="V6">
        <f t="array" ref="V6:V17">TREND(B4:B15,A4:A15)</f>
        <v>61.226890756302517</v>
      </c>
      <c r="W6">
        <f>U6-V6</f>
        <v>-0.22689075630251665</v>
      </c>
      <c r="X6">
        <f t="array" ref="X6:X17">[3]!LEVERAGE(A4:A15)</f>
        <v>9.4537815126050806E-2</v>
      </c>
      <c r="Y6">
        <f t="shared" ref="Y6:Y17" si="2">W6/SQRT($AD$21)</f>
        <v>-4.2526245487047261E-2</v>
      </c>
      <c r="Z6">
        <f t="shared" ref="Z6:Z17" si="3">($AD$21-W6^2/((1-X6)*$AD$20))*$AD$20/($AD$20-1)</f>
        <v>31.622067543181213</v>
      </c>
      <c r="AA6">
        <f>W6/SQRT(Z6*(1-X6))</f>
        <v>-4.2402016731046051E-2</v>
      </c>
      <c r="AB6">
        <f t="shared" ref="AB6:AB17" si="4">TDIST(ABS(AA6),$AD$20,2)</f>
        <v>0.96701291258401456</v>
      </c>
      <c r="AC6">
        <f t="shared" ref="AC6:AC17" si="5">(W6^2/$AD$21)*(X6/(1-X6)^2)/($AD$22+1)</f>
        <v>1.042675128603724E-4</v>
      </c>
      <c r="AD6">
        <f>AA6*SQRT(X6/(1-X6))</f>
        <v>-1.370105894841271E-2</v>
      </c>
      <c r="AN6" s="3">
        <f t="shared" si="1"/>
        <v>26</v>
      </c>
      <c r="AO6">
        <f t="shared" ref="AO6:AO17" si="6">ABS(W6)</f>
        <v>0.22689075630251665</v>
      </c>
      <c r="AP6">
        <f t="array" ref="AP6:AP17">TREND(AO6:AO17,AN6:AN17)</f>
        <v>4.7505825859755646</v>
      </c>
      <c r="AQ6">
        <f>1/AP6^2</f>
        <v>4.431045964601972E-2</v>
      </c>
      <c r="AS6" t="s">
        <v>12</v>
      </c>
      <c r="AT6">
        <f>SQRT(AT7)</f>
        <v>0.9316980086583343</v>
      </c>
      <c r="AV6" t="s">
        <v>13</v>
      </c>
      <c r="AW6">
        <f>AT10*LN(AU15/AT10)+2*AT14</f>
        <v>6.0227491392340857</v>
      </c>
    </row>
    <row r="7" spans="1:51" x14ac:dyDescent="0.35">
      <c r="A7" s="20">
        <v>20</v>
      </c>
      <c r="B7" s="20">
        <v>39</v>
      </c>
      <c r="C7" s="21"/>
      <c r="D7" s="21"/>
      <c r="E7" s="21"/>
      <c r="F7" s="21"/>
      <c r="G7" s="21"/>
      <c r="H7" s="21"/>
      <c r="I7" s="21"/>
      <c r="K7" t="s">
        <v>14</v>
      </c>
      <c r="L7">
        <f>M14/M16</f>
        <v>0.86702485416464892</v>
      </c>
      <c r="N7" t="s">
        <v>15</v>
      </c>
      <c r="O7">
        <f>O6+2*(L14+2)*(L14+3)/(L10-L14-3)</f>
        <v>44.996474734618481</v>
      </c>
      <c r="S7">
        <f>S6+1</f>
        <v>2</v>
      </c>
      <c r="T7">
        <f t="shared" si="0"/>
        <v>24</v>
      </c>
      <c r="U7">
        <f t="shared" si="0"/>
        <v>59</v>
      </c>
      <c r="V7">
        <v>54.386554621848738</v>
      </c>
      <c r="W7">
        <f t="shared" ref="W7:W17" si="7">U7-V7</f>
        <v>4.6134453781512619</v>
      </c>
      <c r="X7">
        <v>8.6134453781512299E-2</v>
      </c>
      <c r="Y7">
        <f t="shared" si="2"/>
        <v>0.86470032490331117</v>
      </c>
      <c r="Z7">
        <f t="shared" si="3"/>
        <v>29.040613026819901</v>
      </c>
      <c r="AA7">
        <f t="shared" ref="AA7:AA17" si="8">W7/SQRT(Z7*(1-X7))</f>
        <v>0.89553247832716076</v>
      </c>
      <c r="AB7">
        <f t="shared" si="4"/>
        <v>0.39154919705930757</v>
      </c>
      <c r="AC7">
        <f t="shared" si="5"/>
        <v>3.8557915228548116E-2</v>
      </c>
      <c r="AD7">
        <f t="shared" ref="AD7:AD17" si="9">AA7*SQRT(X7/(1-X7))</f>
        <v>0.27493412046537485</v>
      </c>
      <c r="AN7" s="3">
        <f t="shared" si="1"/>
        <v>24</v>
      </c>
      <c r="AO7">
        <f t="shared" si="6"/>
        <v>4.6134453781512619</v>
      </c>
      <c r="AP7">
        <v>3.7213473624744005</v>
      </c>
      <c r="AQ7">
        <f t="shared" ref="AQ7:AQ17" si="10">1/AP7^2</f>
        <v>7.2210371497924378E-2</v>
      </c>
      <c r="AS7" t="s">
        <v>14</v>
      </c>
      <c r="AT7">
        <f>AU14/AU16</f>
        <v>0.86806117933790561</v>
      </c>
      <c r="AV7" t="s">
        <v>15</v>
      </c>
      <c r="AW7">
        <f>AW6+2*(AT14+1)*(AT14+2)/(AT10-AT14-2)</f>
        <v>7.3560824725674188</v>
      </c>
    </row>
    <row r="8" spans="1:51" x14ac:dyDescent="0.35">
      <c r="A8" s="20">
        <v>24</v>
      </c>
      <c r="B8" s="20">
        <v>51</v>
      </c>
      <c r="C8" s="21"/>
      <c r="D8" s="21"/>
      <c r="E8" s="21"/>
      <c r="F8" s="21"/>
      <c r="G8" s="21"/>
      <c r="H8" s="21"/>
      <c r="I8" s="21"/>
      <c r="K8" t="s">
        <v>16</v>
      </c>
      <c r="L8">
        <f>1-(1-L7)*(L10-1)/(L10-L14-1)</f>
        <v>0.8537273395811138</v>
      </c>
      <c r="N8" s="14" t="s">
        <v>51</v>
      </c>
      <c r="O8" s="14">
        <f>L10*LN(M15/L10)+(L14+1)*LN(L10)</f>
        <v>42.966288034194484</v>
      </c>
      <c r="S8">
        <f t="shared" ref="S8:S17" si="11">S7+1</f>
        <v>3</v>
      </c>
      <c r="T8">
        <f t="shared" si="0"/>
        <v>32</v>
      </c>
      <c r="U8">
        <f t="shared" si="0"/>
        <v>74</v>
      </c>
      <c r="V8">
        <v>81.747899159663859</v>
      </c>
      <c r="W8">
        <f t="shared" si="7"/>
        <v>-7.7478991596638593</v>
      </c>
      <c r="X8">
        <v>0.4222689075630246</v>
      </c>
      <c r="Y8">
        <f t="shared" si="2"/>
        <v>-1.4521925310762331</v>
      </c>
      <c r="Z8">
        <f t="shared" si="3"/>
        <v>20.083232323232338</v>
      </c>
      <c r="AA8">
        <f t="shared" si="8"/>
        <v>-2.2745960624173627</v>
      </c>
      <c r="AB8">
        <f t="shared" si="4"/>
        <v>4.6208246458561579E-2</v>
      </c>
      <c r="AC8">
        <f t="shared" si="5"/>
        <v>1.334000598230578</v>
      </c>
      <c r="AD8">
        <f t="shared" si="9"/>
        <v>-1.9446254480958782</v>
      </c>
      <c r="AN8" s="3">
        <f t="shared" si="1"/>
        <v>32</v>
      </c>
      <c r="AO8">
        <f t="shared" si="6"/>
        <v>7.7478991596638593</v>
      </c>
      <c r="AP8">
        <v>7.838288256479057</v>
      </c>
      <c r="AQ8">
        <f t="shared" si="10"/>
        <v>1.6276369421550033E-2</v>
      </c>
      <c r="AS8" t="s">
        <v>52</v>
      </c>
      <c r="AT8">
        <f>1-(1-AT7)*AT10/(AT10-AT14)</f>
        <v>0.85606674109589709</v>
      </c>
      <c r="AV8" s="14" t="s">
        <v>17</v>
      </c>
      <c r="AW8" s="14">
        <f>AT10*LN(AU15/AT10)+AT14*LN(AT10)</f>
        <v>6.5076557890220865</v>
      </c>
    </row>
    <row r="9" spans="1:51" x14ac:dyDescent="0.35">
      <c r="A9" s="20">
        <v>27</v>
      </c>
      <c r="B9" s="20">
        <v>59</v>
      </c>
      <c r="C9" s="21"/>
      <c r="D9" s="21"/>
      <c r="E9" s="21"/>
      <c r="F9" s="21"/>
      <c r="G9" s="21"/>
      <c r="H9" s="21"/>
      <c r="I9" s="21"/>
      <c r="K9" t="s">
        <v>18</v>
      </c>
      <c r="L9">
        <f>SQRT(N15)</f>
        <v>5.3353112578824744</v>
      </c>
      <c r="S9">
        <f t="shared" si="11"/>
        <v>4</v>
      </c>
      <c r="T9">
        <f t="shared" si="0"/>
        <v>20</v>
      </c>
      <c r="U9">
        <f t="shared" si="0"/>
        <v>39</v>
      </c>
      <c r="V9">
        <v>40.705882352941181</v>
      </c>
      <c r="W9">
        <f t="shared" si="7"/>
        <v>-1.7058823529411811</v>
      </c>
      <c r="X9">
        <v>0.2205882352941172</v>
      </c>
      <c r="Y9">
        <f t="shared" si="2"/>
        <v>-0.3197343642174364</v>
      </c>
      <c r="Z9">
        <f t="shared" si="3"/>
        <v>31.21353698712187</v>
      </c>
      <c r="AA9">
        <f t="shared" si="8"/>
        <v>-0.34585503783400656</v>
      </c>
      <c r="AB9">
        <f t="shared" si="4"/>
        <v>0.7366173629507029</v>
      </c>
      <c r="AC9">
        <f t="shared" si="5"/>
        <v>1.8560816115122555E-2</v>
      </c>
      <c r="AD9">
        <f t="shared" si="9"/>
        <v>-0.18399321193013221</v>
      </c>
      <c r="AN9" s="3">
        <f t="shared" si="1"/>
        <v>20</v>
      </c>
      <c r="AO9">
        <f t="shared" si="6"/>
        <v>1.7058823529411811</v>
      </c>
      <c r="AP9">
        <v>1.6628769154720722</v>
      </c>
      <c r="AQ9">
        <f t="shared" si="10"/>
        <v>0.36164277352282859</v>
      </c>
      <c r="AS9" t="s">
        <v>18</v>
      </c>
      <c r="AT9">
        <f>SQRT(AV15)</f>
        <v>1.2953427421221102</v>
      </c>
    </row>
    <row r="10" spans="1:51" x14ac:dyDescent="0.35">
      <c r="A10" s="20">
        <v>20</v>
      </c>
      <c r="B10" s="20">
        <v>44</v>
      </c>
      <c r="C10" s="21"/>
      <c r="D10" s="21"/>
      <c r="E10" s="21"/>
      <c r="F10" s="21"/>
      <c r="G10" s="21"/>
      <c r="H10" s="21"/>
      <c r="I10" s="21"/>
      <c r="K10" s="14" t="s">
        <v>19</v>
      </c>
      <c r="L10" s="14">
        <f>COUNT(B4:B15)</f>
        <v>12</v>
      </c>
      <c r="S10">
        <f t="shared" si="11"/>
        <v>5</v>
      </c>
      <c r="T10">
        <f t="shared" si="0"/>
        <v>24</v>
      </c>
      <c r="U10">
        <f t="shared" si="0"/>
        <v>51</v>
      </c>
      <c r="V10">
        <v>54.386554621848738</v>
      </c>
      <c r="W10">
        <f t="shared" si="7"/>
        <v>-3.3865546218487381</v>
      </c>
      <c r="X10">
        <v>8.6134453781512299E-2</v>
      </c>
      <c r="Y10">
        <f t="shared" si="2"/>
        <v>-0.63474359004742109</v>
      </c>
      <c r="Z10">
        <f t="shared" si="3"/>
        <v>30.233971902937405</v>
      </c>
      <c r="AA10">
        <f t="shared" si="8"/>
        <v>-0.64427210785231848</v>
      </c>
      <c r="AB10">
        <f t="shared" si="4"/>
        <v>0.53389735304247354</v>
      </c>
      <c r="AC10">
        <f t="shared" si="5"/>
        <v>2.0776813794092464E-2</v>
      </c>
      <c r="AD10">
        <f t="shared" si="9"/>
        <v>-0.19779560161082105</v>
      </c>
      <c r="AN10" s="3">
        <f t="shared" si="1"/>
        <v>24</v>
      </c>
      <c r="AO10">
        <f t="shared" si="6"/>
        <v>3.3865546218487381</v>
      </c>
      <c r="AP10">
        <v>3.7213473624744005</v>
      </c>
      <c r="AQ10">
        <f t="shared" si="10"/>
        <v>7.2210371497924378E-2</v>
      </c>
      <c r="AS10" s="14" t="s">
        <v>19</v>
      </c>
      <c r="AT10" s="14">
        <f>COUNT(B4:B15)</f>
        <v>12</v>
      </c>
    </row>
    <row r="11" spans="1:51" x14ac:dyDescent="0.35">
      <c r="A11" s="20">
        <v>23</v>
      </c>
      <c r="B11" s="20">
        <v>52</v>
      </c>
      <c r="C11" s="21"/>
      <c r="D11" s="21"/>
      <c r="E11" s="21"/>
      <c r="F11" s="21"/>
      <c r="G11" s="21"/>
      <c r="H11" s="21"/>
      <c r="I11" s="21"/>
      <c r="S11">
        <f t="shared" si="11"/>
        <v>6</v>
      </c>
      <c r="T11">
        <f t="shared" si="0"/>
        <v>27</v>
      </c>
      <c r="U11">
        <f t="shared" si="0"/>
        <v>59</v>
      </c>
      <c r="V11">
        <v>64.647058823529392</v>
      </c>
      <c r="W11">
        <f t="shared" si="7"/>
        <v>-5.6470588235293917</v>
      </c>
      <c r="X11">
        <v>0.11764705882352977</v>
      </c>
      <c r="Y11">
        <f t="shared" si="2"/>
        <v>-1.0584309987887484</v>
      </c>
      <c r="Z11">
        <f t="shared" si="3"/>
        <v>27.612698412698425</v>
      </c>
      <c r="AA11">
        <f t="shared" si="8"/>
        <v>-1.1440545114858958</v>
      </c>
      <c r="AB11">
        <f t="shared" si="4"/>
        <v>0.2792473275218329</v>
      </c>
      <c r="AC11">
        <f t="shared" si="5"/>
        <v>8.4643089094880802E-2</v>
      </c>
      <c r="AD11">
        <f t="shared" si="9"/>
        <v>-0.41774964197091957</v>
      </c>
      <c r="AN11" s="3">
        <f t="shared" si="1"/>
        <v>27</v>
      </c>
      <c r="AO11">
        <f t="shared" si="6"/>
        <v>5.6470588235293917</v>
      </c>
      <c r="AP11">
        <v>5.2652001977261467</v>
      </c>
      <c r="AQ11">
        <f t="shared" si="10"/>
        <v>3.6071999986232395E-2</v>
      </c>
    </row>
    <row r="12" spans="1:51" ht="15" thickBot="1" x14ac:dyDescent="0.4">
      <c r="A12" s="20">
        <v>29</v>
      </c>
      <c r="B12" s="20">
        <v>81</v>
      </c>
      <c r="C12" s="21"/>
      <c r="D12" s="21"/>
      <c r="E12" s="21"/>
      <c r="F12" s="21"/>
      <c r="G12" s="21"/>
      <c r="H12" s="21"/>
      <c r="I12" s="21"/>
      <c r="K12" t="s">
        <v>20</v>
      </c>
      <c r="O12" s="3" t="s">
        <v>21</v>
      </c>
      <c r="P12" s="3">
        <v>0.05</v>
      </c>
      <c r="S12">
        <f t="shared" si="11"/>
        <v>7</v>
      </c>
      <c r="T12">
        <f t="shared" si="0"/>
        <v>20</v>
      </c>
      <c r="U12">
        <f t="shared" si="0"/>
        <v>44</v>
      </c>
      <c r="V12">
        <v>40.705882352941181</v>
      </c>
      <c r="W12">
        <f t="shared" si="7"/>
        <v>3.2941176470588189</v>
      </c>
      <c r="X12">
        <v>0.2205882352941172</v>
      </c>
      <c r="Y12">
        <f t="shared" si="2"/>
        <v>0.61741808262677123</v>
      </c>
      <c r="Z12">
        <f t="shared" si="3"/>
        <v>30.081461515423769</v>
      </c>
      <c r="AA12">
        <f t="shared" si="8"/>
        <v>0.68030891291664486</v>
      </c>
      <c r="AB12">
        <f t="shared" si="4"/>
        <v>0.51175128408306902</v>
      </c>
      <c r="AC12">
        <f t="shared" si="5"/>
        <v>6.9211319068993873E-2</v>
      </c>
      <c r="AD12">
        <f t="shared" si="9"/>
        <v>0.36192106026891713</v>
      </c>
      <c r="AN12" s="3">
        <f t="shared" si="1"/>
        <v>20</v>
      </c>
      <c r="AO12">
        <f t="shared" si="6"/>
        <v>3.2941176470588189</v>
      </c>
      <c r="AP12">
        <v>1.6628769154720722</v>
      </c>
      <c r="AQ12">
        <f t="shared" si="10"/>
        <v>0.36164277352282859</v>
      </c>
      <c r="AS12" t="s">
        <v>20</v>
      </c>
      <c r="AW12" s="3" t="s">
        <v>21</v>
      </c>
      <c r="AX12" s="3">
        <v>0.05</v>
      </c>
    </row>
    <row r="13" spans="1:51" ht="15" thickTop="1" x14ac:dyDescent="0.35">
      <c r="A13" s="20">
        <v>22</v>
      </c>
      <c r="B13" s="20">
        <v>46</v>
      </c>
      <c r="C13" s="21"/>
      <c r="D13" s="21"/>
      <c r="E13" s="21"/>
      <c r="F13" s="21"/>
      <c r="G13" s="21"/>
      <c r="H13" s="21"/>
      <c r="I13" s="21"/>
      <c r="K13" s="17"/>
      <c r="L13" s="17" t="s">
        <v>22</v>
      </c>
      <c r="M13" s="17" t="s">
        <v>23</v>
      </c>
      <c r="N13" s="17" t="s">
        <v>24</v>
      </c>
      <c r="O13" s="17" t="s">
        <v>25</v>
      </c>
      <c r="P13" s="17" t="s">
        <v>26</v>
      </c>
      <c r="Q13" s="17" t="s">
        <v>27</v>
      </c>
      <c r="S13">
        <f t="shared" si="11"/>
        <v>8</v>
      </c>
      <c r="T13">
        <f t="shared" si="0"/>
        <v>23</v>
      </c>
      <c r="U13">
        <f t="shared" si="0"/>
        <v>52</v>
      </c>
      <c r="V13">
        <v>50.966386554621842</v>
      </c>
      <c r="W13">
        <f t="shared" si="7"/>
        <v>1.0336134453781582</v>
      </c>
      <c r="X13">
        <v>0.10084033613445387</v>
      </c>
      <c r="Y13">
        <f t="shared" si="2"/>
        <v>0.19373067388544254</v>
      </c>
      <c r="Z13">
        <f t="shared" si="3"/>
        <v>31.496365524402886</v>
      </c>
      <c r="AA13">
        <f t="shared" si="8"/>
        <v>0.19422696366989425</v>
      </c>
      <c r="AB13">
        <f t="shared" si="4"/>
        <v>0.84988705292862532</v>
      </c>
      <c r="AC13">
        <f t="shared" si="5"/>
        <v>2.340601261152321E-3</v>
      </c>
      <c r="AD13">
        <f t="shared" si="9"/>
        <v>6.5044151862883468E-2</v>
      </c>
      <c r="AN13" s="3">
        <f t="shared" si="1"/>
        <v>23</v>
      </c>
      <c r="AO13">
        <f t="shared" si="6"/>
        <v>1.0336134453781582</v>
      </c>
      <c r="AP13">
        <v>3.2067297507238184</v>
      </c>
      <c r="AQ13">
        <f t="shared" si="10"/>
        <v>9.7246790733497679E-2</v>
      </c>
      <c r="AS13" s="17"/>
      <c r="AT13" s="17" t="s">
        <v>22</v>
      </c>
      <c r="AU13" s="17" t="s">
        <v>23</v>
      </c>
      <c r="AV13" s="17" t="s">
        <v>24</v>
      </c>
      <c r="AW13" s="17" t="s">
        <v>25</v>
      </c>
      <c r="AX13" s="17" t="s">
        <v>26</v>
      </c>
      <c r="AY13" s="17" t="s">
        <v>27</v>
      </c>
    </row>
    <row r="14" spans="1:51" x14ac:dyDescent="0.35">
      <c r="A14" s="20">
        <v>28</v>
      </c>
      <c r="B14" s="20">
        <v>74</v>
      </c>
      <c r="C14" s="21"/>
      <c r="D14" s="21"/>
      <c r="E14" s="21"/>
      <c r="F14" s="21"/>
      <c r="G14" s="21"/>
      <c r="H14" s="21"/>
      <c r="I14" s="21"/>
      <c r="K14" t="s">
        <v>28</v>
      </c>
      <c r="L14">
        <f>COUNT(A4)</f>
        <v>1</v>
      </c>
      <c r="M14">
        <f>DEVSQ(MMULT([3]!DEsign(A4:A15),L19:L20))</f>
        <v>1856.0112044817918</v>
      </c>
      <c r="N14">
        <f>M14/L14</f>
        <v>1856.0112044817918</v>
      </c>
      <c r="O14">
        <f>N14/N15</f>
        <v>65.202023183956015</v>
      </c>
      <c r="P14">
        <f>FDIST(O14,L14,L15)</f>
        <v>1.0852434403235446E-5</v>
      </c>
      <c r="Q14" s="3" t="str">
        <f>IF(P14&lt;P12,"yes","no")</f>
        <v>yes</v>
      </c>
      <c r="S14">
        <f t="shared" si="11"/>
        <v>9</v>
      </c>
      <c r="T14">
        <f t="shared" si="0"/>
        <v>29</v>
      </c>
      <c r="U14">
        <f t="shared" si="0"/>
        <v>81</v>
      </c>
      <c r="V14">
        <v>71.487394957983184</v>
      </c>
      <c r="W14">
        <f t="shared" si="7"/>
        <v>9.5126050420168156</v>
      </c>
      <c r="X14">
        <v>0.20168067226890674</v>
      </c>
      <c r="Y14">
        <f t="shared" si="2"/>
        <v>1.7829522181977211</v>
      </c>
      <c r="Z14">
        <f t="shared" si="3"/>
        <v>19.033918128654946</v>
      </c>
      <c r="AA14">
        <f t="shared" si="8"/>
        <v>2.4403214934767017</v>
      </c>
      <c r="AB14">
        <f t="shared" si="4"/>
        <v>3.482981096606648E-2</v>
      </c>
      <c r="AC14">
        <f t="shared" si="5"/>
        <v>0.50299122199148449</v>
      </c>
      <c r="AD14">
        <f t="shared" si="9"/>
        <v>1.2265658340371293</v>
      </c>
      <c r="AN14" s="3">
        <f t="shared" si="1"/>
        <v>29</v>
      </c>
      <c r="AO14">
        <f t="shared" si="6"/>
        <v>9.5126050420168156</v>
      </c>
      <c r="AP14">
        <v>6.2944354212273108</v>
      </c>
      <c r="AQ14">
        <f t="shared" si="10"/>
        <v>2.5239830591637535E-2</v>
      </c>
      <c r="AS14" t="s">
        <v>28</v>
      </c>
      <c r="AT14">
        <f>COUNT(A4)</f>
        <v>1</v>
      </c>
      <c r="AU14" cm="1">
        <f t="array" ref="AU14">SUMPRODUCT(AQ6:AQ17,MMULT([3]!DEsign(A4:A15),AT19:AT20)^2)-SUMPRODUCT(B4:B15,AQ6:AQ17)^2/SUM(AQ6:AQ17)</f>
        <v>110.39442172300824</v>
      </c>
      <c r="AV14">
        <f>AU14/AT14</f>
        <v>110.39442172300824</v>
      </c>
      <c r="AW14">
        <f>AV14/AV15</f>
        <v>65.79270414740769</v>
      </c>
      <c r="AX14">
        <f>FDIST(AW14,AT14,AT15)</f>
        <v>1.0430995567646804E-5</v>
      </c>
      <c r="AY14" s="3" t="str">
        <f>IF(AX14&lt;AX12,"yes","no")</f>
        <v>yes</v>
      </c>
    </row>
    <row r="15" spans="1:51" x14ac:dyDescent="0.35">
      <c r="A15" s="23">
        <v>21</v>
      </c>
      <c r="B15" s="23">
        <v>40</v>
      </c>
      <c r="C15" s="21"/>
      <c r="D15" s="21"/>
      <c r="E15" s="21"/>
      <c r="F15" s="21"/>
      <c r="G15" s="21"/>
      <c r="H15" s="21"/>
      <c r="I15" s="21"/>
      <c r="K15" t="s">
        <v>29</v>
      </c>
      <c r="L15">
        <f>L16-L14</f>
        <v>10</v>
      </c>
      <c r="M15">
        <f>M16-M14</f>
        <v>284.65546218487475</v>
      </c>
      <c r="N15">
        <f>M15/L15</f>
        <v>28.465546218487475</v>
      </c>
      <c r="S15">
        <f t="shared" si="11"/>
        <v>10</v>
      </c>
      <c r="T15">
        <f t="shared" si="0"/>
        <v>22</v>
      </c>
      <c r="U15">
        <f t="shared" si="0"/>
        <v>46</v>
      </c>
      <c r="V15">
        <v>47.54621848739496</v>
      </c>
      <c r="W15">
        <f t="shared" si="7"/>
        <v>-1.5462184873949596</v>
      </c>
      <c r="X15">
        <v>0.12815126050420167</v>
      </c>
      <c r="Y15">
        <f t="shared" si="2"/>
        <v>-0.2898084877635872</v>
      </c>
      <c r="Z15">
        <f t="shared" si="3"/>
        <v>31.323694779116448</v>
      </c>
      <c r="AA15">
        <f t="shared" si="8"/>
        <v>-0.29587876539502561</v>
      </c>
      <c r="AB15">
        <f t="shared" si="4"/>
        <v>0.77337565467271174</v>
      </c>
      <c r="AC15">
        <f t="shared" si="5"/>
        <v>7.0799925398739262E-3</v>
      </c>
      <c r="AD15">
        <f t="shared" si="9"/>
        <v>-0.11343698290413137</v>
      </c>
      <c r="AN15" s="3">
        <f t="shared" si="1"/>
        <v>22</v>
      </c>
      <c r="AO15">
        <f t="shared" si="6"/>
        <v>1.5462184873949596</v>
      </c>
      <c r="AP15">
        <v>2.6921121389732363</v>
      </c>
      <c r="AQ15">
        <f t="shared" si="10"/>
        <v>0.13797922693826645</v>
      </c>
      <c r="AS15" t="s">
        <v>29</v>
      </c>
      <c r="AT15">
        <f>AT16-AT14</f>
        <v>10</v>
      </c>
      <c r="AU15">
        <f>AU16-AU14</f>
        <v>16.779128195684279</v>
      </c>
      <c r="AV15">
        <f>AU15/AT15</f>
        <v>1.6779128195684279</v>
      </c>
    </row>
    <row r="16" spans="1:51" x14ac:dyDescent="0.35">
      <c r="K16" s="14" t="s">
        <v>30</v>
      </c>
      <c r="L16" s="14">
        <f>L10-1</f>
        <v>11</v>
      </c>
      <c r="M16" s="14">
        <f>DEVSQ(B4:B15)</f>
        <v>2140.6666666666665</v>
      </c>
      <c r="N16" s="14"/>
      <c r="O16" s="14"/>
      <c r="P16" s="14"/>
      <c r="Q16" s="14"/>
      <c r="S16">
        <f t="shared" si="11"/>
        <v>11</v>
      </c>
      <c r="T16">
        <f t="shared" si="0"/>
        <v>28</v>
      </c>
      <c r="U16">
        <f t="shared" si="0"/>
        <v>74</v>
      </c>
      <c r="V16">
        <v>68.067226890756302</v>
      </c>
      <c r="W16">
        <f t="shared" si="7"/>
        <v>5.9327731092436977</v>
      </c>
      <c r="X16">
        <v>0.15336134453781536</v>
      </c>
      <c r="Y16">
        <f t="shared" si="2"/>
        <v>1.1119825671798498</v>
      </c>
      <c r="Z16">
        <f t="shared" si="3"/>
        <v>27.009098428453246</v>
      </c>
      <c r="AA16">
        <f t="shared" si="8"/>
        <v>1.2406624818262431</v>
      </c>
      <c r="AB16">
        <f t="shared" si="4"/>
        <v>0.24304879713669686</v>
      </c>
      <c r="AC16">
        <f t="shared" si="5"/>
        <v>0.13227740987885156</v>
      </c>
      <c r="AD16">
        <f t="shared" si="9"/>
        <v>0.5280348129084198</v>
      </c>
      <c r="AN16" s="3">
        <f t="shared" si="1"/>
        <v>28</v>
      </c>
      <c r="AO16">
        <f t="shared" si="6"/>
        <v>5.9327731092436977</v>
      </c>
      <c r="AP16">
        <v>5.7798178094767287</v>
      </c>
      <c r="AQ16">
        <f t="shared" si="10"/>
        <v>2.9934478894061721E-2</v>
      </c>
      <c r="AS16" s="14" t="s">
        <v>30</v>
      </c>
      <c r="AT16" s="14">
        <f>AT10-1</f>
        <v>11</v>
      </c>
      <c r="AU16" s="14">
        <f>SUMPRODUCT(B4:B15^2,AQ6:AQ17)-SUMPRODUCT(B4:B15,AQ6:AQ17)^2/SUM(AQ6:AQ17)</f>
        <v>127.17354991869252</v>
      </c>
      <c r="AV16" s="14"/>
      <c r="AW16" s="14"/>
      <c r="AX16" s="14"/>
      <c r="AY16" s="14"/>
    </row>
    <row r="17" spans="11:51" ht="15" thickBot="1" x14ac:dyDescent="0.4">
      <c r="S17" s="14">
        <f t="shared" si="11"/>
        <v>12</v>
      </c>
      <c r="T17" s="14">
        <f t="shared" si="0"/>
        <v>21</v>
      </c>
      <c r="U17" s="14">
        <f t="shared" si="0"/>
        <v>40</v>
      </c>
      <c r="V17" s="14">
        <v>44.126050420168063</v>
      </c>
      <c r="W17" s="14">
        <f t="shared" si="7"/>
        <v>-4.1260504201680632</v>
      </c>
      <c r="X17" s="14">
        <v>0.16806722689075615</v>
      </c>
      <c r="Y17" s="14">
        <f t="shared" si="2"/>
        <v>-0.77334764941261436</v>
      </c>
      <c r="Z17" s="14">
        <f t="shared" si="3"/>
        <v>29.354657687991011</v>
      </c>
      <c r="AA17" s="14">
        <f t="shared" si="8"/>
        <v>-0.83493353341891852</v>
      </c>
      <c r="AB17" s="14">
        <f t="shared" si="4"/>
        <v>0.42325344782248242</v>
      </c>
      <c r="AC17" s="14">
        <f t="shared" si="5"/>
        <v>7.2614961570645634E-2</v>
      </c>
      <c r="AD17" s="14">
        <f t="shared" si="9"/>
        <v>-0.37527471559798886</v>
      </c>
      <c r="AN17" s="24">
        <f t="shared" si="1"/>
        <v>21</v>
      </c>
      <c r="AO17" s="14">
        <f t="shared" si="6"/>
        <v>4.1260504201680632</v>
      </c>
      <c r="AP17" s="14">
        <v>2.1774945272226542</v>
      </c>
      <c r="AQ17" s="14">
        <f t="shared" si="10"/>
        <v>0.21090450459284277</v>
      </c>
    </row>
    <row r="18" spans="11:51" ht="15" thickTop="1" x14ac:dyDescent="0.35">
      <c r="K18" s="17"/>
      <c r="L18" s="17" t="s">
        <v>31</v>
      </c>
      <c r="M18" s="17" t="s">
        <v>32</v>
      </c>
      <c r="N18" s="17" t="s">
        <v>33</v>
      </c>
      <c r="O18" s="17" t="s">
        <v>26</v>
      </c>
      <c r="P18" s="17" t="s">
        <v>5</v>
      </c>
      <c r="Q18" s="17" t="s">
        <v>6</v>
      </c>
      <c r="AS18" s="17"/>
      <c r="AT18" s="17" t="s">
        <v>31</v>
      </c>
      <c r="AU18" s="17" t="s">
        <v>32</v>
      </c>
      <c r="AV18" s="17" t="s">
        <v>33</v>
      </c>
      <c r="AW18" s="17" t="s">
        <v>26</v>
      </c>
      <c r="AX18" s="17" t="s">
        <v>5</v>
      </c>
      <c r="AY18" s="17" t="s">
        <v>6</v>
      </c>
    </row>
    <row r="19" spans="11:51" x14ac:dyDescent="0.35">
      <c r="K19" t="s">
        <v>34</v>
      </c>
      <c r="L19">
        <f t="array" ref="L19:M20">[3]!RegCoeff(A4:A15,B4:B15)</f>
        <v>-27.697478991596618</v>
      </c>
      <c r="M19">
        <v>10.560772875798419</v>
      </c>
      <c r="N19">
        <f>L19/M19</f>
        <v>-2.6226753777717833</v>
      </c>
      <c r="O19">
        <f>TDIST(ABS(N19),$L$15,2)</f>
        <v>2.5480457927928732E-2</v>
      </c>
      <c r="P19">
        <f>L19-TINV(P$12,$L$15)*M19</f>
        <v>-51.228347343165893</v>
      </c>
      <c r="Q19">
        <f>L19+TINV(P$12,$L$15)*M19</f>
        <v>-4.1666106400273435</v>
      </c>
      <c r="AC19" t="s">
        <v>53</v>
      </c>
      <c r="AD19" s="25">
        <f>DEVSQ(W6:W17)</f>
        <v>284.65546218487378</v>
      </c>
      <c r="AS19" t="s">
        <v>34</v>
      </c>
      <c r="AT19">
        <f t="array" ref="AT19:AU20">[3]!WRegCoeff(A4:A15,B4:B15,AQ6:AQ17)</f>
        <v>-28.711602032799419</v>
      </c>
      <c r="AU19">
        <v>9.3290880500781128</v>
      </c>
      <c r="AV19">
        <f>AT19/AU19</f>
        <v>-3.0776429463069559</v>
      </c>
      <c r="AW19">
        <f>TDIST(ABS(AV19),$AT$15,2)</f>
        <v>1.1687532322830773E-2</v>
      </c>
      <c r="AX19">
        <f>AT19-TINV(AX$12,$AT$15)*AU19</f>
        <v>-49.498105570779337</v>
      </c>
      <c r="AY19">
        <f>AT19+TINV(AX$12,$AT$15)*AU19</f>
        <v>-7.9250984948195011</v>
      </c>
    </row>
    <row r="20" spans="11:51" x14ac:dyDescent="0.35">
      <c r="K20" s="14" t="str">
        <f t="array" ref="K20">TRANSPOSE(A3)</f>
        <v>Ad</v>
      </c>
      <c r="L20" s="14">
        <v>3.4201680672268897</v>
      </c>
      <c r="M20" s="14">
        <v>0.42356192352204386</v>
      </c>
      <c r="N20" s="14">
        <f>L20/M20</f>
        <v>8.0747769742548403</v>
      </c>
      <c r="O20" s="14">
        <f>TDIST(ABS(N20),$L$15,2)</f>
        <v>1.0852434403235328E-5</v>
      </c>
      <c r="P20" s="14">
        <f>L20-TINV(P$12,$L$15)*M20</f>
        <v>2.4764132892053849</v>
      </c>
      <c r="Q20" s="14">
        <f>L20+TINV(P$12,$L$15)*M20</f>
        <v>4.3639228452483945</v>
      </c>
      <c r="AC20" t="s">
        <v>54</v>
      </c>
      <c r="AD20" s="26">
        <f>COUNT(B4:B15)-AD22-1</f>
        <v>10</v>
      </c>
      <c r="AS20" s="14" t="str">
        <f t="array" ref="AS20">TRANSPOSE(A3)</f>
        <v>Ad</v>
      </c>
      <c r="AT20" s="14">
        <v>3.4592303452096189</v>
      </c>
      <c r="AU20" s="14">
        <v>0.42647208918044993</v>
      </c>
      <c r="AV20" s="14">
        <f>AT20/AU20</f>
        <v>8.1112701932199389</v>
      </c>
      <c r="AW20" s="14">
        <f>TDIST(ABS(AV20),$AT$15,2)</f>
        <v>1.043099556763945E-5</v>
      </c>
      <c r="AX20" s="14">
        <f>AT20-TINV(AX$12,$AT$15)*AU20</f>
        <v>2.5089913140189033</v>
      </c>
      <c r="AY20" s="14">
        <f>AT20+TINV(AX$12,$AT$15)*AU20</f>
        <v>4.4094693764003345</v>
      </c>
    </row>
    <row r="21" spans="11:51" x14ac:dyDescent="0.35">
      <c r="AC21" t="s">
        <v>55</v>
      </c>
      <c r="AD21" s="26">
        <f>AD19/AD20</f>
        <v>28.465546218487379</v>
      </c>
    </row>
    <row r="22" spans="11:51" x14ac:dyDescent="0.35">
      <c r="AC22" t="s">
        <v>56</v>
      </c>
      <c r="AD22" s="27">
        <f>COUNT(A4)</f>
        <v>1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13928-481D-46D4-96A0-39AC2CBA3A68}">
  <sheetPr codeName="Sheet16"/>
  <dimension ref="A1:AD23"/>
  <sheetViews>
    <sheetView workbookViewId="0"/>
  </sheetViews>
  <sheetFormatPr defaultRowHeight="14.5" x14ac:dyDescent="0.35"/>
  <cols>
    <col min="1" max="3" width="7.453125" customWidth="1"/>
    <col min="4" max="4" width="2.26953125" customWidth="1"/>
    <col min="5" max="5" width="17" customWidth="1"/>
    <col min="20" max="20" width="9.1796875" customWidth="1"/>
    <col min="23" max="23" width="16.81640625" customWidth="1"/>
  </cols>
  <sheetData>
    <row r="1" spans="1:29" x14ac:dyDescent="0.35">
      <c r="A1" s="1" t="s">
        <v>35</v>
      </c>
    </row>
    <row r="3" spans="1:29" x14ac:dyDescent="0.35">
      <c r="E3" t="s">
        <v>38</v>
      </c>
      <c r="N3" s="28" t="str">
        <f t="shared" ref="N3:P18" si="0">A4</f>
        <v>Color</v>
      </c>
      <c r="O3" s="28" t="str">
        <f t="shared" si="0"/>
        <v>Quality</v>
      </c>
      <c r="P3" s="28" t="str">
        <f t="shared" si="0"/>
        <v>Price</v>
      </c>
      <c r="Q3" s="28" t="s">
        <v>57</v>
      </c>
      <c r="R3" s="28" t="s">
        <v>58</v>
      </c>
      <c r="S3" s="28" t="s">
        <v>48</v>
      </c>
      <c r="T3" s="28" t="s">
        <v>49</v>
      </c>
      <c r="U3" s="28" t="s">
        <v>10</v>
      </c>
      <c r="W3" t="s">
        <v>3</v>
      </c>
    </row>
    <row r="4" spans="1:29" x14ac:dyDescent="0.35">
      <c r="A4" s="28" t="s">
        <v>59</v>
      </c>
      <c r="B4" s="28" t="s">
        <v>60</v>
      </c>
      <c r="C4" s="28" t="s">
        <v>61</v>
      </c>
      <c r="N4" s="3">
        <f t="shared" si="0"/>
        <v>7</v>
      </c>
      <c r="O4" s="3">
        <f t="shared" si="0"/>
        <v>5</v>
      </c>
      <c r="P4" s="3">
        <f t="shared" si="0"/>
        <v>65</v>
      </c>
      <c r="Q4" s="7">
        <f t="array" ref="Q4:Q18">TREND(P4:P18,N4:O18)</f>
        <v>55.026564295334694</v>
      </c>
      <c r="R4" s="7">
        <f>P4-Q4</f>
        <v>9.9734357046653059</v>
      </c>
      <c r="S4" s="7">
        <f>ABS(R4)</f>
        <v>9.9734357046653059</v>
      </c>
      <c r="T4" s="7">
        <f t="array" ref="T4:T18">TREND(S4:S18,Q4:Q18)</f>
        <v>4.2356330868923404</v>
      </c>
      <c r="U4" s="7">
        <f>1/T4^2</f>
        <v>5.5739534272147485E-2</v>
      </c>
    </row>
    <row r="5" spans="1:29" ht="15" thickBot="1" x14ac:dyDescent="0.4">
      <c r="A5" s="3">
        <v>7</v>
      </c>
      <c r="B5" s="3">
        <v>5</v>
      </c>
      <c r="C5" s="3">
        <v>65</v>
      </c>
      <c r="E5" s="13" t="s">
        <v>11</v>
      </c>
      <c r="F5" s="13"/>
      <c r="H5" s="13"/>
      <c r="I5" s="13"/>
      <c r="N5" s="3">
        <f t="shared" si="0"/>
        <v>3</v>
      </c>
      <c r="O5" s="3">
        <f t="shared" si="0"/>
        <v>7</v>
      </c>
      <c r="P5" s="3">
        <f t="shared" si="0"/>
        <v>38</v>
      </c>
      <c r="Q5" s="7">
        <v>42.689423742742569</v>
      </c>
      <c r="R5" s="7">
        <f t="shared" ref="R5:R18" si="1">P5-Q5</f>
        <v>-4.6894237427425693</v>
      </c>
      <c r="S5" s="7">
        <f t="shared" ref="S5:S18" si="2">ABS(R5)</f>
        <v>4.6894237427425693</v>
      </c>
      <c r="T5" s="7">
        <v>3.5348805122866866</v>
      </c>
      <c r="U5" s="7">
        <f t="shared" ref="U5:U18" si="3">1/T5^2</f>
        <v>8.0029577419932843E-2</v>
      </c>
      <c r="W5" s="13" t="s">
        <v>11</v>
      </c>
      <c r="X5" s="13"/>
      <c r="Z5" s="13"/>
      <c r="AA5" s="13"/>
    </row>
    <row r="6" spans="1:29" ht="15" thickTop="1" x14ac:dyDescent="0.35">
      <c r="A6" s="3">
        <v>3</v>
      </c>
      <c r="B6" s="3">
        <v>7</v>
      </c>
      <c r="C6" s="3">
        <v>38</v>
      </c>
      <c r="E6" t="s">
        <v>12</v>
      </c>
      <c r="F6">
        <f>SQRT(F7)</f>
        <v>0.96244273569588235</v>
      </c>
      <c r="H6" t="s">
        <v>13</v>
      </c>
      <c r="I6">
        <f>F10*LN(G15/F10)+2*(F14+1)</f>
        <v>50.215048856751416</v>
      </c>
      <c r="N6" s="3">
        <f t="shared" si="0"/>
        <v>5</v>
      </c>
      <c r="O6" s="3">
        <f t="shared" si="0"/>
        <v>8</v>
      </c>
      <c r="P6" s="3">
        <f t="shared" si="0"/>
        <v>51</v>
      </c>
      <c r="Q6" s="7">
        <v>56.567118409338214</v>
      </c>
      <c r="R6" s="7">
        <f t="shared" si="1"/>
        <v>-5.5671184093382138</v>
      </c>
      <c r="S6" s="7">
        <f t="shared" si="2"/>
        <v>5.5671184093382138</v>
      </c>
      <c r="T6" s="7">
        <v>4.3231369340849124</v>
      </c>
      <c r="U6" s="7">
        <f t="shared" si="3"/>
        <v>5.3505942216357669E-2</v>
      </c>
      <c r="W6" t="s">
        <v>12</v>
      </c>
      <c r="X6">
        <f>SQRT(X7)</f>
        <v>0.96900243100190098</v>
      </c>
      <c r="Z6" t="s">
        <v>13</v>
      </c>
      <c r="AA6">
        <f>X10*LN(Y15/X10)+2*X14</f>
        <v>8.5062078756896664</v>
      </c>
    </row>
    <row r="7" spans="1:29" x14ac:dyDescent="0.35">
      <c r="A7" s="3">
        <v>5</v>
      </c>
      <c r="B7" s="3">
        <v>8</v>
      </c>
      <c r="C7" s="3">
        <v>51</v>
      </c>
      <c r="E7" t="s">
        <v>14</v>
      </c>
      <c r="F7">
        <f>G14/G16</f>
        <v>0.92629601949377394</v>
      </c>
      <c r="H7" t="s">
        <v>15</v>
      </c>
      <c r="I7">
        <f>I6+2*(F14+2)*(F14+3)/(F10-F14-3)</f>
        <v>54.215048856751416</v>
      </c>
      <c r="N7" s="3">
        <f t="shared" si="0"/>
        <v>8</v>
      </c>
      <c r="O7" s="3">
        <f t="shared" si="0"/>
        <v>1</v>
      </c>
      <c r="P7" s="3">
        <f t="shared" si="0"/>
        <v>38</v>
      </c>
      <c r="Q7" s="7">
        <v>44.619881750458461</v>
      </c>
      <c r="R7" s="7">
        <f t="shared" si="1"/>
        <v>-6.6198817504584611</v>
      </c>
      <c r="S7" s="7">
        <f t="shared" si="2"/>
        <v>6.6198817504584611</v>
      </c>
      <c r="T7" s="7">
        <v>3.6445309951768068</v>
      </c>
      <c r="U7" s="7">
        <f t="shared" si="3"/>
        <v>7.5286430000227167E-2</v>
      </c>
      <c r="W7" t="s">
        <v>14</v>
      </c>
      <c r="X7">
        <f>Y14/Y16</f>
        <v>0.93896571128759376</v>
      </c>
      <c r="Z7" t="s">
        <v>15</v>
      </c>
      <c r="AA7">
        <f>AA6+2*(X14+1)*(X14+2)/(X10-X14-2)</f>
        <v>10.688026057507848</v>
      </c>
    </row>
    <row r="8" spans="1:29" x14ac:dyDescent="0.35">
      <c r="A8" s="3">
        <v>8</v>
      </c>
      <c r="B8" s="3">
        <v>1</v>
      </c>
      <c r="C8" s="3">
        <v>38</v>
      </c>
      <c r="E8" t="s">
        <v>16</v>
      </c>
      <c r="F8">
        <f>1-(1-F7)*(F10-1)/(F10-F14-1)</f>
        <v>0.9140120227427363</v>
      </c>
      <c r="H8" s="14" t="s">
        <v>51</v>
      </c>
      <c r="I8" s="14">
        <f>F10*LN(G15/F10)+(F14+1)*LN(F10)</f>
        <v>52.339199460058047</v>
      </c>
      <c r="N8" s="3">
        <f t="shared" si="0"/>
        <v>9</v>
      </c>
      <c r="O8" s="3">
        <f t="shared" si="0"/>
        <v>3</v>
      </c>
      <c r="P8" s="3">
        <f t="shared" si="0"/>
        <v>55</v>
      </c>
      <c r="Q8" s="7">
        <v>57.340572376480964</v>
      </c>
      <c r="R8" s="7">
        <f t="shared" si="1"/>
        <v>-2.3405723764809636</v>
      </c>
      <c r="S8" s="7">
        <f t="shared" si="2"/>
        <v>2.3405723764809636</v>
      </c>
      <c r="T8" s="7">
        <v>4.3670693069474682</v>
      </c>
      <c r="U8" s="7">
        <f t="shared" si="3"/>
        <v>5.2434826006472264E-2</v>
      </c>
      <c r="W8" t="s">
        <v>16</v>
      </c>
      <c r="X8">
        <f>1-(1-X7)*X10/(X10-X14)</f>
        <v>0.92957582071645439</v>
      </c>
      <c r="Z8" s="14" t="s">
        <v>17</v>
      </c>
      <c r="AA8" s="14">
        <f>X10*LN(Y15/X10)+X14*LN(X10)</f>
        <v>9.9223082778940856</v>
      </c>
    </row>
    <row r="9" spans="1:29" x14ac:dyDescent="0.35">
      <c r="A9" s="3">
        <v>9</v>
      </c>
      <c r="B9" s="3">
        <v>3</v>
      </c>
      <c r="C9" s="3">
        <v>55</v>
      </c>
      <c r="E9" t="s">
        <v>18</v>
      </c>
      <c r="F9">
        <f>SQRT(H15)</f>
        <v>4.8812763731865685</v>
      </c>
      <c r="N9" s="3">
        <f t="shared" si="0"/>
        <v>5</v>
      </c>
      <c r="O9" s="3">
        <f t="shared" si="0"/>
        <v>4</v>
      </c>
      <c r="P9" s="3">
        <f t="shared" si="0"/>
        <v>43</v>
      </c>
      <c r="Q9" s="7">
        <v>41.14886962873905</v>
      </c>
      <c r="R9" s="7">
        <f t="shared" si="1"/>
        <v>1.8511303712609504</v>
      </c>
      <c r="S9" s="7">
        <f t="shared" si="2"/>
        <v>1.8511303712609504</v>
      </c>
      <c r="T9" s="7">
        <v>3.4473766650941151</v>
      </c>
      <c r="U9" s="7">
        <f t="shared" si="3"/>
        <v>8.4143878192278157E-2</v>
      </c>
      <c r="W9" t="s">
        <v>18</v>
      </c>
      <c r="X9">
        <f>SQRT(Z15)</f>
        <v>1.2992389953216001</v>
      </c>
    </row>
    <row r="10" spans="1:29" x14ac:dyDescent="0.35">
      <c r="A10" s="3">
        <v>5</v>
      </c>
      <c r="B10" s="3">
        <v>4</v>
      </c>
      <c r="C10" s="3">
        <v>43</v>
      </c>
      <c r="E10" s="14" t="s">
        <v>19</v>
      </c>
      <c r="F10" s="14">
        <f>COUNT(C5:C19)</f>
        <v>15</v>
      </c>
      <c r="N10" s="3">
        <f t="shared" si="0"/>
        <v>2</v>
      </c>
      <c r="O10" s="3">
        <f t="shared" si="0"/>
        <v>3</v>
      </c>
      <c r="P10" s="3">
        <f t="shared" si="0"/>
        <v>20</v>
      </c>
      <c r="Q10" s="7">
        <v>22.259608726420481</v>
      </c>
      <c r="R10" s="7">
        <f t="shared" si="1"/>
        <v>-2.2596087264204812</v>
      </c>
      <c r="S10" s="7">
        <f t="shared" si="2"/>
        <v>2.2596087264204812</v>
      </c>
      <c r="T10" s="7">
        <v>2.374462066020627</v>
      </c>
      <c r="U10" s="7">
        <f t="shared" si="3"/>
        <v>0.17736565557655207</v>
      </c>
      <c r="W10" s="14" t="s">
        <v>19</v>
      </c>
      <c r="X10" s="14">
        <f>COUNT(C5:C19)</f>
        <v>15</v>
      </c>
    </row>
    <row r="11" spans="1:29" x14ac:dyDescent="0.35">
      <c r="A11" s="3">
        <v>2</v>
      </c>
      <c r="B11" s="3">
        <v>3</v>
      </c>
      <c r="C11" s="3">
        <v>20</v>
      </c>
      <c r="N11" s="3">
        <f t="shared" si="0"/>
        <v>8</v>
      </c>
      <c r="O11" s="3">
        <f t="shared" si="0"/>
        <v>6</v>
      </c>
      <c r="P11" s="3">
        <f t="shared" si="0"/>
        <v>65</v>
      </c>
      <c r="Q11" s="7">
        <v>63.892692726207414</v>
      </c>
      <c r="R11" s="7">
        <f t="shared" si="1"/>
        <v>1.1073072737925855</v>
      </c>
      <c r="S11" s="7">
        <f t="shared" si="2"/>
        <v>1.1073072737925855</v>
      </c>
      <c r="T11" s="7">
        <v>4.7392313314153025</v>
      </c>
      <c r="U11" s="7">
        <f t="shared" si="3"/>
        <v>4.4522975825055371E-2</v>
      </c>
    </row>
    <row r="12" spans="1:29" ht="15" thickBot="1" x14ac:dyDescent="0.4">
      <c r="A12" s="3">
        <v>8</v>
      </c>
      <c r="B12" s="3">
        <v>6</v>
      </c>
      <c r="C12" s="3">
        <v>65</v>
      </c>
      <c r="E12" t="s">
        <v>20</v>
      </c>
      <c r="I12" s="3" t="s">
        <v>21</v>
      </c>
      <c r="J12" s="3">
        <v>0.05</v>
      </c>
      <c r="N12" s="3">
        <f t="shared" si="0"/>
        <v>3</v>
      </c>
      <c r="O12" s="3">
        <f t="shared" si="0"/>
        <v>1</v>
      </c>
      <c r="P12" s="3">
        <f t="shared" si="0"/>
        <v>20</v>
      </c>
      <c r="Q12" s="7">
        <v>19.562050571843827</v>
      </c>
      <c r="R12" s="7">
        <f t="shared" si="1"/>
        <v>0.43794942815617333</v>
      </c>
      <c r="S12" s="7">
        <f t="shared" si="2"/>
        <v>0.43794942815617333</v>
      </c>
      <c r="T12" s="7">
        <v>2.2212401088004916</v>
      </c>
      <c r="U12" s="7">
        <f t="shared" si="3"/>
        <v>0.2026791088984084</v>
      </c>
      <c r="W12" t="s">
        <v>20</v>
      </c>
      <c r="AA12" s="3" t="s">
        <v>21</v>
      </c>
      <c r="AB12" s="3">
        <v>0.05</v>
      </c>
    </row>
    <row r="13" spans="1:29" ht="15" thickTop="1" x14ac:dyDescent="0.35">
      <c r="A13" s="3">
        <v>3</v>
      </c>
      <c r="B13" s="3">
        <v>1</v>
      </c>
      <c r="C13" s="3">
        <v>20</v>
      </c>
      <c r="E13" s="17"/>
      <c r="F13" s="17" t="s">
        <v>22</v>
      </c>
      <c r="G13" s="17" t="s">
        <v>23</v>
      </c>
      <c r="H13" s="17" t="s">
        <v>24</v>
      </c>
      <c r="I13" s="17" t="s">
        <v>25</v>
      </c>
      <c r="J13" s="17" t="s">
        <v>26</v>
      </c>
      <c r="K13" s="17" t="s">
        <v>27</v>
      </c>
      <c r="N13" s="3">
        <f t="shared" si="0"/>
        <v>1</v>
      </c>
      <c r="O13" s="3">
        <f t="shared" si="0"/>
        <v>5</v>
      </c>
      <c r="P13" s="3">
        <f t="shared" si="0"/>
        <v>26</v>
      </c>
      <c r="Q13" s="7">
        <v>24.957166880997136</v>
      </c>
      <c r="R13" s="7">
        <f t="shared" si="1"/>
        <v>1.0428331190028644</v>
      </c>
      <c r="S13" s="7">
        <f t="shared" si="2"/>
        <v>1.0428331190028644</v>
      </c>
      <c r="T13" s="7">
        <v>2.527684023240762</v>
      </c>
      <c r="U13" s="7">
        <f t="shared" si="3"/>
        <v>0.15651444775621245</v>
      </c>
      <c r="W13" s="17"/>
      <c r="X13" s="17" t="s">
        <v>22</v>
      </c>
      <c r="Y13" s="17" t="s">
        <v>23</v>
      </c>
      <c r="Z13" s="17" t="s">
        <v>24</v>
      </c>
      <c r="AA13" s="17" t="s">
        <v>25</v>
      </c>
      <c r="AB13" s="17" t="s">
        <v>26</v>
      </c>
      <c r="AC13" s="17" t="s">
        <v>27</v>
      </c>
    </row>
    <row r="14" spans="1:29" x14ac:dyDescent="0.35">
      <c r="A14" s="3">
        <v>1</v>
      </c>
      <c r="B14" s="3">
        <v>5</v>
      </c>
      <c r="C14" s="3">
        <v>26</v>
      </c>
      <c r="E14" t="s">
        <v>28</v>
      </c>
      <c r="F14">
        <f>COUNT(A5:B5)</f>
        <v>2</v>
      </c>
      <c r="G14">
        <f>DEVSQ(MMULT([3]!DEsign(A5:B19),F19:F21))</f>
        <v>3593.4110249561809</v>
      </c>
      <c r="H14">
        <f>G14/F14</f>
        <v>1796.7055124780904</v>
      </c>
      <c r="I14">
        <f>H14/H15</f>
        <v>75.40672944378025</v>
      </c>
      <c r="J14">
        <f>FDIST(I14,F14,F15)</f>
        <v>1.603044800233996E-7</v>
      </c>
      <c r="K14" s="3" t="str">
        <f>IF(J14&lt;J12,"yes","no")</f>
        <v>yes</v>
      </c>
      <c r="N14" s="3">
        <f t="shared" si="0"/>
        <v>4</v>
      </c>
      <c r="O14" s="3">
        <f t="shared" si="0"/>
        <v>0</v>
      </c>
      <c r="P14" s="3">
        <f t="shared" si="0"/>
        <v>25</v>
      </c>
      <c r="Q14" s="7">
        <v>20.719054612416969</v>
      </c>
      <c r="R14" s="7">
        <f t="shared" si="1"/>
        <v>4.2809453875830314</v>
      </c>
      <c r="S14" s="7">
        <f t="shared" si="2"/>
        <v>4.2809453875830314</v>
      </c>
      <c r="T14" s="7">
        <v>2.2869582188280559</v>
      </c>
      <c r="U14" s="7">
        <f t="shared" si="3"/>
        <v>0.19119808544562217</v>
      </c>
      <c r="W14" t="s">
        <v>28</v>
      </c>
      <c r="X14">
        <f>COUNT(A5:B5)</f>
        <v>2</v>
      </c>
      <c r="Y14" cm="1">
        <f t="array" ref="Y14">SUMPRODUCT(U4:U18,MMULT([3]!DEsign(A5:B19),X19:X21)^2)-SUMPRODUCT(C5:C19,U4:U18)^2/SUM(U4:U18)</f>
        <v>311.62707657950068</v>
      </c>
      <c r="Z14">
        <f>Y14/X14</f>
        <v>155.81353828975034</v>
      </c>
      <c r="AA14">
        <f>Z14/Z15</f>
        <v>92.305397286958055</v>
      </c>
      <c r="AB14">
        <f>FDIST(AA14,X14,X15)</f>
        <v>5.1694379443682917E-8</v>
      </c>
      <c r="AC14" s="3" t="str">
        <f>IF(AB14&lt;AB12,"yes","no")</f>
        <v>yes</v>
      </c>
    </row>
    <row r="15" spans="1:29" x14ac:dyDescent="0.35">
      <c r="A15" s="3">
        <v>4</v>
      </c>
      <c r="B15" s="3">
        <v>0</v>
      </c>
      <c r="C15" s="3">
        <v>25</v>
      </c>
      <c r="E15" t="s">
        <v>29</v>
      </c>
      <c r="F15">
        <f>F16-F14</f>
        <v>12</v>
      </c>
      <c r="G15">
        <f>G16-G14</f>
        <v>285.92230837715306</v>
      </c>
      <c r="H15">
        <f>G15/F15</f>
        <v>23.826859031429422</v>
      </c>
      <c r="N15" s="3">
        <f t="shared" si="0"/>
        <v>2</v>
      </c>
      <c r="O15" s="3">
        <f t="shared" si="0"/>
        <v>6</v>
      </c>
      <c r="P15" s="3">
        <f t="shared" si="0"/>
        <v>33</v>
      </c>
      <c r="Q15" s="7">
        <v>33.823295311869856</v>
      </c>
      <c r="R15" s="7">
        <f t="shared" si="1"/>
        <v>-0.82329531186985605</v>
      </c>
      <c r="S15" s="7">
        <f t="shared" si="2"/>
        <v>0.82329531186985605</v>
      </c>
      <c r="T15" s="7">
        <v>3.0312822677637246</v>
      </c>
      <c r="U15" s="7">
        <f t="shared" si="3"/>
        <v>0.10882965238765983</v>
      </c>
      <c r="W15" t="s">
        <v>29</v>
      </c>
      <c r="X15">
        <f>X16-X14</f>
        <v>12</v>
      </c>
      <c r="Y15">
        <f>Y16-Y14</f>
        <v>20.256263603571369</v>
      </c>
      <c r="Z15">
        <f>Y15/X15</f>
        <v>1.6880219669642809</v>
      </c>
    </row>
    <row r="16" spans="1:29" x14ac:dyDescent="0.35">
      <c r="A16" s="3">
        <v>2</v>
      </c>
      <c r="B16" s="3">
        <v>6</v>
      </c>
      <c r="C16" s="3">
        <v>33</v>
      </c>
      <c r="E16" s="14" t="s">
        <v>30</v>
      </c>
      <c r="F16" s="14">
        <f>F10-1</f>
        <v>14</v>
      </c>
      <c r="G16" s="14">
        <f>DEVSQ(C5:C19)</f>
        <v>3879.3333333333339</v>
      </c>
      <c r="H16" s="14"/>
      <c r="I16" s="14"/>
      <c r="J16" s="14"/>
      <c r="K16" s="14"/>
      <c r="N16" s="3">
        <f t="shared" si="0"/>
        <v>8</v>
      </c>
      <c r="O16" s="3">
        <f t="shared" si="0"/>
        <v>7</v>
      </c>
      <c r="P16" s="3">
        <f t="shared" si="0"/>
        <v>71</v>
      </c>
      <c r="Q16" s="7">
        <v>67.747254921357211</v>
      </c>
      <c r="R16" s="7">
        <f t="shared" si="1"/>
        <v>3.2527450786427892</v>
      </c>
      <c r="S16" s="7">
        <f t="shared" si="2"/>
        <v>3.2527450786427892</v>
      </c>
      <c r="T16" s="7">
        <v>4.9581713986630023</v>
      </c>
      <c r="U16" s="7">
        <f t="shared" si="3"/>
        <v>4.0677750520339812E-2</v>
      </c>
      <c r="W16" s="14" t="s">
        <v>30</v>
      </c>
      <c r="X16" s="14">
        <f>X10-1</f>
        <v>14</v>
      </c>
      <c r="Y16" s="14">
        <f>SUMPRODUCT(C5:C19^2,U4:U18)-SUMPRODUCT(C5:C19,U4:U18)^2/SUM(U4:U18)</f>
        <v>331.88334018307205</v>
      </c>
      <c r="Z16" s="14"/>
      <c r="AA16" s="14"/>
      <c r="AB16" s="14"/>
      <c r="AC16" s="14"/>
    </row>
    <row r="17" spans="1:30" ht="15" thickBot="1" x14ac:dyDescent="0.4">
      <c r="A17" s="3">
        <v>8</v>
      </c>
      <c r="B17" s="3">
        <v>7</v>
      </c>
      <c r="C17" s="3">
        <v>71</v>
      </c>
      <c r="N17" s="3">
        <f t="shared" si="0"/>
        <v>6</v>
      </c>
      <c r="O17" s="3">
        <f t="shared" si="0"/>
        <v>4</v>
      </c>
      <c r="P17" s="3">
        <f t="shared" si="0"/>
        <v>51</v>
      </c>
      <c r="Q17" s="7">
        <v>46.160435864461974</v>
      </c>
      <c r="R17" s="7">
        <f t="shared" si="1"/>
        <v>4.8395641355380263</v>
      </c>
      <c r="S17" s="7">
        <f t="shared" si="2"/>
        <v>4.8395641355380263</v>
      </c>
      <c r="T17" s="7">
        <v>3.7320348423693779</v>
      </c>
      <c r="U17" s="7">
        <f t="shared" si="3"/>
        <v>7.1797384001823297E-2</v>
      </c>
    </row>
    <row r="18" spans="1:30" ht="15" thickTop="1" x14ac:dyDescent="0.35">
      <c r="A18" s="3">
        <v>6</v>
      </c>
      <c r="B18" s="3">
        <v>4</v>
      </c>
      <c r="C18" s="3">
        <v>51</v>
      </c>
      <c r="E18" s="17"/>
      <c r="F18" s="17" t="s">
        <v>31</v>
      </c>
      <c r="G18" s="17" t="s">
        <v>32</v>
      </c>
      <c r="H18" s="17" t="s">
        <v>33</v>
      </c>
      <c r="I18" s="17" t="s">
        <v>26</v>
      </c>
      <c r="J18" s="17" t="s">
        <v>5</v>
      </c>
      <c r="K18" s="17" t="s">
        <v>6</v>
      </c>
      <c r="L18" s="17" t="s">
        <v>62</v>
      </c>
      <c r="N18" s="24">
        <f t="shared" si="0"/>
        <v>9</v>
      </c>
      <c r="O18" s="24">
        <f t="shared" si="0"/>
        <v>2</v>
      </c>
      <c r="P18" s="24">
        <f t="shared" si="0"/>
        <v>49</v>
      </c>
      <c r="Q18" s="29">
        <v>53.486010181331174</v>
      </c>
      <c r="R18" s="29">
        <f t="shared" si="1"/>
        <v>-4.4860101813311744</v>
      </c>
      <c r="S18" s="29">
        <f t="shared" si="2"/>
        <v>4.4860101813311744</v>
      </c>
      <c r="T18" s="29">
        <v>4.1481292396997684</v>
      </c>
      <c r="U18" s="29">
        <f t="shared" si="3"/>
        <v>5.8115963490704428E-2</v>
      </c>
      <c r="W18" s="17"/>
      <c r="X18" s="17" t="s">
        <v>31</v>
      </c>
      <c r="Y18" s="17" t="s">
        <v>32</v>
      </c>
      <c r="Z18" s="17" t="s">
        <v>33</v>
      </c>
      <c r="AA18" s="17" t="s">
        <v>26</v>
      </c>
      <c r="AB18" s="17" t="s">
        <v>5</v>
      </c>
      <c r="AC18" s="17" t="s">
        <v>6</v>
      </c>
      <c r="AD18" s="17" t="s">
        <v>62</v>
      </c>
    </row>
    <row r="19" spans="1:30" x14ac:dyDescent="0.35">
      <c r="A19" s="24">
        <v>9</v>
      </c>
      <c r="B19" s="24">
        <v>2</v>
      </c>
      <c r="C19" s="24">
        <v>49</v>
      </c>
      <c r="E19" t="s">
        <v>34</v>
      </c>
      <c r="F19">
        <f t="array" ref="F19:G21">[3]!RegCoeff(A5:B19,C5:C19)</f>
        <v>0.67278966952525998</v>
      </c>
      <c r="G19">
        <v>3.7254870442545198</v>
      </c>
      <c r="H19">
        <f>F19/G19</f>
        <v>0.18059106407653258</v>
      </c>
      <c r="I19">
        <f>TDIST(ABS(H19),$F$15,2)</f>
        <v>0.85970259020618356</v>
      </c>
      <c r="J19">
        <f>F19-TINV(J$12,$F$15)*G19</f>
        <v>-7.4443492992555296</v>
      </c>
      <c r="K19">
        <f>F19+TINV(J$12,$F$15)*G19</f>
        <v>8.7899286383060495</v>
      </c>
      <c r="W19" t="s">
        <v>34</v>
      </c>
      <c r="X19">
        <f t="array" ref="X19:Y21">[3]!WRegCoeff(A5:B19,C5:C19,U4:U18)</f>
        <v>1.9172425561752107</v>
      </c>
      <c r="Y19">
        <v>2.6876052111061322</v>
      </c>
      <c r="Z19">
        <f>X19/Y19</f>
        <v>0.71336465201529176</v>
      </c>
      <c r="AA19">
        <f>TDIST(ABS(Z19),$X$15,2)</f>
        <v>0.48926184842574572</v>
      </c>
      <c r="AB19">
        <f>X19-TINV(AB$12,$X$15)*Y19</f>
        <v>-3.9385461588633301</v>
      </c>
      <c r="AC19">
        <f>X19+TINV(AB$12,$X$15)*Y19</f>
        <v>7.7730312712137515</v>
      </c>
    </row>
    <row r="20" spans="1:30" x14ac:dyDescent="0.35">
      <c r="E20" t="str">
        <f t="array" ref="E20:E21">TRANSPOSE(A4:B4)</f>
        <v>Color</v>
      </c>
      <c r="F20">
        <v>5.0115662357229267</v>
      </c>
      <c r="G20">
        <v>0.4772022063457258</v>
      </c>
      <c r="H20">
        <f t="shared" ref="H20:H21" si="4">F20/G20</f>
        <v>10.501976246296151</v>
      </c>
      <c r="I20">
        <f t="shared" ref="I20:I21" si="5">TDIST(ABS(H20),$F$15,2)</f>
        <v>2.1043980418140897E-7</v>
      </c>
      <c r="J20">
        <f t="shared" ref="J20:J21" si="6">F20-TINV(J$12,$F$15)*G20</f>
        <v>3.9718319461913509</v>
      </c>
      <c r="K20">
        <f t="shared" ref="K20:K21" si="7">F20+TINV(J$12,$F$15)*G20</f>
        <v>6.0513005252545025</v>
      </c>
      <c r="L20">
        <f>[3]!VIF(A5:B19,1)</f>
        <v>1.0067089240103386</v>
      </c>
      <c r="W20" t="str">
        <f t="array" ref="W20:W21">TRANSPOSE(A4:B4)</f>
        <v>Color</v>
      </c>
      <c r="X20">
        <v>4.9696452468362784</v>
      </c>
      <c r="Y20">
        <v>0.43326973594654344</v>
      </c>
      <c r="Z20">
        <f t="shared" ref="Z20:Z21" si="8">X20/Y20</f>
        <v>11.47009549600628</v>
      </c>
      <c r="AA20">
        <f t="shared" ref="AA20:AA21" si="9">TDIST(ABS(Z20),$X$15,2)</f>
        <v>7.9855688889625301E-8</v>
      </c>
      <c r="AB20">
        <f t="shared" ref="AB20:AB21" si="10">X20-TINV(AB$12,$X$15)*Y20</f>
        <v>4.0256315874494168</v>
      </c>
      <c r="AC20">
        <f t="shared" ref="AC20:AC21" si="11">X20+TINV(AB$12,$X$15)*Y20</f>
        <v>5.9136589062231399</v>
      </c>
      <c r="AD20">
        <f t="array" ref="AD20">[3]!WVIF(A5:B19,U4:U18,1)</f>
        <v>1.0035854268213857</v>
      </c>
    </row>
    <row r="21" spans="1:30" x14ac:dyDescent="0.35">
      <c r="E21" s="14" t="str">
        <v>Quality</v>
      </c>
      <c r="F21" s="14">
        <v>3.8545621951497901</v>
      </c>
      <c r="G21" s="14">
        <v>0.53522472382443897</v>
      </c>
      <c r="H21" s="14">
        <f t="shared" si="4"/>
        <v>7.2017640881891305</v>
      </c>
      <c r="I21" s="14">
        <f t="shared" si="5"/>
        <v>1.0840761462972225E-5</v>
      </c>
      <c r="J21" s="14">
        <f t="shared" si="6"/>
        <v>2.6884077001260032</v>
      </c>
      <c r="K21" s="14">
        <f t="shared" si="7"/>
        <v>5.0207166901735771</v>
      </c>
      <c r="L21" s="14">
        <f>[3]!VIF(A5:B19,2)</f>
        <v>1.0067089240103386</v>
      </c>
      <c r="W21" s="14" t="str">
        <v>Quality</v>
      </c>
      <c r="X21" s="14">
        <v>3.5955530326288283</v>
      </c>
      <c r="Y21" s="14">
        <v>0.45193276177607578</v>
      </c>
      <c r="Z21" s="14">
        <f t="shared" si="8"/>
        <v>7.9559468503643416</v>
      </c>
      <c r="AA21" s="14">
        <f t="shared" si="9"/>
        <v>3.9783935609491252E-6</v>
      </c>
      <c r="AB21" s="14">
        <f t="shared" si="10"/>
        <v>2.6108761331241714</v>
      </c>
      <c r="AC21" s="14">
        <f t="shared" si="11"/>
        <v>4.5802299321334852</v>
      </c>
      <c r="AD21" s="14">
        <f t="array" ref="AD21">[3]!WVIF(A5:B19,U4:U18,2)</f>
        <v>1.0035854268213869</v>
      </c>
    </row>
    <row r="23" spans="1:30" x14ac:dyDescent="0.35">
      <c r="X23">
        <f>[3]!WRSquare(N4:O18,P4:P18,U4:U18)</f>
        <v>0.9389657112876022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35C26-E503-4CCA-A3EA-62554CCF82B8}">
  <sheetPr codeName="Sheet17"/>
  <dimension ref="A1:AN25"/>
  <sheetViews>
    <sheetView workbookViewId="0"/>
  </sheetViews>
  <sheetFormatPr defaultRowHeight="14.5" x14ac:dyDescent="0.35"/>
  <cols>
    <col min="5" max="5" width="17" customWidth="1"/>
    <col min="28" max="30" width="7.453125" customWidth="1"/>
    <col min="32" max="32" width="2.453125" customWidth="1"/>
    <col min="33" max="33" width="13.26953125" customWidth="1"/>
  </cols>
  <sheetData>
    <row r="1" spans="1:39" x14ac:dyDescent="0.35">
      <c r="A1" s="1" t="s">
        <v>35</v>
      </c>
    </row>
    <row r="3" spans="1:39" x14ac:dyDescent="0.35">
      <c r="A3" s="30" t="s">
        <v>63</v>
      </c>
      <c r="B3" s="30" t="s">
        <v>64</v>
      </c>
      <c r="C3" s="30" t="s">
        <v>65</v>
      </c>
      <c r="E3" t="s">
        <v>38</v>
      </c>
      <c r="N3" s="28" t="str">
        <f>A3</f>
        <v>Score</v>
      </c>
      <c r="O3" s="28" t="str">
        <f t="shared" ref="O3:P18" si="0">B3</f>
        <v>Gender</v>
      </c>
      <c r="P3" s="28" t="str">
        <f t="shared" si="0"/>
        <v>Stress</v>
      </c>
      <c r="Q3" s="28" t="s">
        <v>57</v>
      </c>
      <c r="R3" s="28" t="s">
        <v>58</v>
      </c>
      <c r="AB3" s="28" t="str">
        <f>N3</f>
        <v>Score</v>
      </c>
      <c r="AC3" s="28" t="str">
        <f t="shared" ref="AC3:AD18" si="1">O3</f>
        <v>Gender</v>
      </c>
      <c r="AD3" s="28" t="str">
        <f t="shared" si="1"/>
        <v>Stress</v>
      </c>
      <c r="AE3" s="28" t="s">
        <v>10</v>
      </c>
      <c r="AG3" t="s">
        <v>3</v>
      </c>
    </row>
    <row r="4" spans="1:39" x14ac:dyDescent="0.35">
      <c r="A4" s="31">
        <v>5.08</v>
      </c>
      <c r="B4" s="3">
        <v>0</v>
      </c>
      <c r="C4" s="31">
        <v>3.35</v>
      </c>
      <c r="N4" s="31">
        <f t="shared" ref="N4:P24" si="2">A4</f>
        <v>5.08</v>
      </c>
      <c r="O4" s="3">
        <f t="shared" si="0"/>
        <v>0</v>
      </c>
      <c r="P4" s="31">
        <f t="shared" si="0"/>
        <v>3.35</v>
      </c>
      <c r="Q4">
        <f t="array" ref="Q4:Q24">TREND(P4:P24,N4:O24)</f>
        <v>3.4648189777471519</v>
      </c>
      <c r="R4">
        <f>P4-Q4</f>
        <v>-0.11481897774715177</v>
      </c>
      <c r="AB4" s="31">
        <f>N4</f>
        <v>5.08</v>
      </c>
      <c r="AC4" s="3">
        <f t="shared" si="1"/>
        <v>0</v>
      </c>
      <c r="AD4" s="31">
        <f t="shared" si="1"/>
        <v>3.35</v>
      </c>
      <c r="AE4">
        <f>X22</f>
        <v>109.92310838977296</v>
      </c>
    </row>
    <row r="5" spans="1:39" ht="15" thickBot="1" x14ac:dyDescent="0.4">
      <c r="A5" s="31">
        <v>5.16</v>
      </c>
      <c r="B5" s="3">
        <v>0</v>
      </c>
      <c r="C5" s="31">
        <v>3.61</v>
      </c>
      <c r="E5" s="13" t="s">
        <v>11</v>
      </c>
      <c r="F5" s="13"/>
      <c r="H5" s="13"/>
      <c r="I5" s="13"/>
      <c r="N5" s="31">
        <f t="shared" si="2"/>
        <v>5.16</v>
      </c>
      <c r="O5" s="3">
        <f t="shared" si="0"/>
        <v>0</v>
      </c>
      <c r="P5" s="31">
        <f t="shared" si="0"/>
        <v>3.61</v>
      </c>
      <c r="Q5">
        <v>3.4880909975274603</v>
      </c>
      <c r="R5">
        <f t="shared" ref="R5:R24" si="3">P5-Q5</f>
        <v>0.12190900247253955</v>
      </c>
      <c r="AB5" s="31">
        <f t="shared" ref="AB5:AD24" si="4">N5</f>
        <v>5.16</v>
      </c>
      <c r="AC5" s="3">
        <f t="shared" si="1"/>
        <v>0</v>
      </c>
      <c r="AD5" s="31">
        <f t="shared" si="1"/>
        <v>3.61</v>
      </c>
      <c r="AE5">
        <f>AE4</f>
        <v>109.92310838977296</v>
      </c>
      <c r="AG5" s="13" t="s">
        <v>11</v>
      </c>
      <c r="AH5" s="13"/>
      <c r="AJ5" s="13"/>
      <c r="AK5" s="13"/>
    </row>
    <row r="6" spans="1:39" ht="15" thickTop="1" x14ac:dyDescent="0.35">
      <c r="A6" s="31">
        <v>4.8499999999999996</v>
      </c>
      <c r="B6" s="3">
        <v>0</v>
      </c>
      <c r="C6" s="31">
        <v>3.3</v>
      </c>
      <c r="E6" t="s">
        <v>12</v>
      </c>
      <c r="F6">
        <f>SQRT(F7)</f>
        <v>0.46877347595239705</v>
      </c>
      <c r="H6" t="s">
        <v>13</v>
      </c>
      <c r="I6">
        <f>F10*LN(G15/F10)+2*(F14+1)</f>
        <v>-64.452936056064658</v>
      </c>
      <c r="N6" s="31">
        <f t="shared" si="2"/>
        <v>4.8499999999999996</v>
      </c>
      <c r="O6" s="3">
        <f t="shared" si="0"/>
        <v>0</v>
      </c>
      <c r="P6" s="31">
        <f t="shared" si="0"/>
        <v>3.3</v>
      </c>
      <c r="Q6">
        <v>3.3979119208787636</v>
      </c>
      <c r="R6">
        <f t="shared" si="3"/>
        <v>-9.791192087876377E-2</v>
      </c>
      <c r="AB6" s="31">
        <f t="shared" si="4"/>
        <v>4.8499999999999996</v>
      </c>
      <c r="AC6" s="3">
        <f t="shared" si="1"/>
        <v>0</v>
      </c>
      <c r="AD6" s="31">
        <f t="shared" si="1"/>
        <v>3.3</v>
      </c>
      <c r="AE6">
        <f t="shared" ref="AE6:AE13" si="5">AE5</f>
        <v>109.92310838977296</v>
      </c>
      <c r="AG6" t="s">
        <v>12</v>
      </c>
      <c r="AH6">
        <f>SQRT(AH7)</f>
        <v>0.63858363628788228</v>
      </c>
      <c r="AJ6" t="s">
        <v>13</v>
      </c>
      <c r="AK6">
        <f>AH10*LN(AI15/AH10)+2*AH14</f>
        <v>1.8869793874172287</v>
      </c>
    </row>
    <row r="7" spans="1:39" x14ac:dyDescent="0.35">
      <c r="A7" s="31">
        <v>4.9800000000000004</v>
      </c>
      <c r="B7" s="3">
        <v>0</v>
      </c>
      <c r="C7" s="31">
        <v>3.41</v>
      </c>
      <c r="E7" t="s">
        <v>14</v>
      </c>
      <c r="F7">
        <f>G14/G16</f>
        <v>0.21974857175649259</v>
      </c>
      <c r="H7" t="s">
        <v>15</v>
      </c>
      <c r="I7">
        <f>I6+2*(F14+2)*(F14+3)/(F10-F14-3)</f>
        <v>-61.952936056064658</v>
      </c>
      <c r="N7" s="31">
        <f t="shared" si="2"/>
        <v>4.9800000000000004</v>
      </c>
      <c r="O7" s="3">
        <f t="shared" si="0"/>
        <v>0</v>
      </c>
      <c r="P7" s="31">
        <f t="shared" si="0"/>
        <v>3.41</v>
      </c>
      <c r="Q7">
        <v>3.4357289530217656</v>
      </c>
      <c r="R7">
        <f t="shared" si="3"/>
        <v>-2.5728953021765477E-2</v>
      </c>
      <c r="AB7" s="31">
        <f t="shared" si="4"/>
        <v>4.9800000000000004</v>
      </c>
      <c r="AC7" s="3">
        <f t="shared" si="1"/>
        <v>0</v>
      </c>
      <c r="AD7" s="31">
        <f t="shared" si="1"/>
        <v>3.41</v>
      </c>
      <c r="AE7">
        <f t="shared" si="5"/>
        <v>109.92310838977296</v>
      </c>
      <c r="AG7" t="s">
        <v>14</v>
      </c>
      <c r="AH7">
        <f>AI14/AI16</f>
        <v>0.40778906053465436</v>
      </c>
      <c r="AJ7" t="s">
        <v>15</v>
      </c>
      <c r="AK7">
        <f>AK6+2*(AH14+1)*(AH14+2)/(AH10-AH14-2)</f>
        <v>3.2987440932995815</v>
      </c>
    </row>
    <row r="8" spans="1:39" x14ac:dyDescent="0.35">
      <c r="A8" s="31">
        <v>4.9000000000000004</v>
      </c>
      <c r="B8" s="3">
        <v>0</v>
      </c>
      <c r="C8" s="31">
        <v>3.58</v>
      </c>
      <c r="E8" t="s">
        <v>16</v>
      </c>
      <c r="F8">
        <f>1-(1-F7)*(F10-1)/(F10-F14-1)</f>
        <v>0.13305396861832519</v>
      </c>
      <c r="H8" s="14" t="s">
        <v>51</v>
      </c>
      <c r="I8" s="14">
        <f>F10*LN(G15/F10)+(F14+1)*LN(F10)</f>
        <v>-61.31936874289439</v>
      </c>
      <c r="N8" s="31">
        <f t="shared" si="2"/>
        <v>4.9000000000000004</v>
      </c>
      <c r="O8" s="3">
        <f t="shared" si="0"/>
        <v>0</v>
      </c>
      <c r="P8" s="31">
        <f t="shared" si="0"/>
        <v>3.58</v>
      </c>
      <c r="Q8">
        <v>3.4124569332414572</v>
      </c>
      <c r="R8">
        <f t="shared" si="3"/>
        <v>0.16754306675854291</v>
      </c>
      <c r="AB8" s="31">
        <f t="shared" si="4"/>
        <v>4.9000000000000004</v>
      </c>
      <c r="AC8" s="3">
        <f t="shared" si="1"/>
        <v>0</v>
      </c>
      <c r="AD8" s="31">
        <f t="shared" si="1"/>
        <v>3.58</v>
      </c>
      <c r="AE8">
        <f t="shared" si="5"/>
        <v>109.92310838977296</v>
      </c>
      <c r="AG8" t="s">
        <v>52</v>
      </c>
      <c r="AH8">
        <f>1-(1-AH7)*AH10/(AH10-AH14)</f>
        <v>0.34545106690672323</v>
      </c>
      <c r="AJ8" s="14" t="s">
        <v>17</v>
      </c>
      <c r="AK8" s="14">
        <f>AH10*LN(AI15/AH10)+AH14*LN(AH10)</f>
        <v>3.9760242628640747</v>
      </c>
    </row>
    <row r="9" spans="1:39" x14ac:dyDescent="0.35">
      <c r="A9" s="31">
        <v>5.21</v>
      </c>
      <c r="B9" s="3">
        <v>0</v>
      </c>
      <c r="C9" s="31">
        <v>3.47</v>
      </c>
      <c r="E9" t="s">
        <v>18</v>
      </c>
      <c r="F9">
        <f>SQRT(H15)</f>
        <v>0.20182071633747656</v>
      </c>
      <c r="N9" s="31">
        <f t="shared" si="2"/>
        <v>5.21</v>
      </c>
      <c r="O9" s="3">
        <f t="shared" si="0"/>
        <v>0</v>
      </c>
      <c r="P9" s="31">
        <f t="shared" si="0"/>
        <v>3.47</v>
      </c>
      <c r="Q9">
        <v>3.5026360098901534</v>
      </c>
      <c r="R9">
        <f t="shared" si="3"/>
        <v>-3.263600989015325E-2</v>
      </c>
      <c r="AB9" s="31">
        <f t="shared" si="4"/>
        <v>5.21</v>
      </c>
      <c r="AC9" s="3">
        <f t="shared" si="1"/>
        <v>0</v>
      </c>
      <c r="AD9" s="31">
        <f t="shared" si="1"/>
        <v>3.47</v>
      </c>
      <c r="AE9">
        <f t="shared" si="5"/>
        <v>109.92310838977296</v>
      </c>
      <c r="AG9" t="s">
        <v>18</v>
      </c>
      <c r="AH9">
        <f>SQRT(AJ15)</f>
        <v>1.027126733849177</v>
      </c>
    </row>
    <row r="10" spans="1:39" x14ac:dyDescent="0.35">
      <c r="A10" s="31">
        <v>5.08</v>
      </c>
      <c r="B10" s="3">
        <v>0</v>
      </c>
      <c r="C10" s="31">
        <v>3.45</v>
      </c>
      <c r="E10" s="14" t="s">
        <v>19</v>
      </c>
      <c r="F10" s="14">
        <f>COUNT(C4:C24)</f>
        <v>21</v>
      </c>
      <c r="N10" s="31">
        <f t="shared" si="2"/>
        <v>5.08</v>
      </c>
      <c r="O10" s="3">
        <f t="shared" si="0"/>
        <v>0</v>
      </c>
      <c r="P10" s="31">
        <f t="shared" si="0"/>
        <v>3.45</v>
      </c>
      <c r="Q10">
        <v>3.4648189777471519</v>
      </c>
      <c r="R10">
        <f t="shared" si="3"/>
        <v>-1.4818977747151685E-2</v>
      </c>
      <c r="AB10" s="31">
        <f t="shared" si="4"/>
        <v>5.08</v>
      </c>
      <c r="AC10" s="3">
        <f t="shared" si="1"/>
        <v>0</v>
      </c>
      <c r="AD10" s="31">
        <f t="shared" si="1"/>
        <v>3.45</v>
      </c>
      <c r="AE10">
        <f t="shared" si="5"/>
        <v>109.92310838977296</v>
      </c>
      <c r="AG10" s="14" t="s">
        <v>19</v>
      </c>
      <c r="AH10" s="14">
        <f>COUNT(AD4:AD24)</f>
        <v>21</v>
      </c>
    </row>
    <row r="11" spans="1:39" x14ac:dyDescent="0.35">
      <c r="A11" s="31">
        <v>4.9400000000000004</v>
      </c>
      <c r="B11" s="3">
        <v>0</v>
      </c>
      <c r="C11" s="31">
        <v>3.36</v>
      </c>
      <c r="N11" s="31">
        <f t="shared" si="2"/>
        <v>4.9400000000000004</v>
      </c>
      <c r="O11" s="3">
        <f t="shared" si="0"/>
        <v>0</v>
      </c>
      <c r="P11" s="31">
        <f t="shared" si="0"/>
        <v>3.36</v>
      </c>
      <c r="Q11">
        <v>3.4240929431316114</v>
      </c>
      <c r="R11">
        <f t="shared" si="3"/>
        <v>-6.4092943131611513E-2</v>
      </c>
      <c r="AB11" s="31">
        <f t="shared" si="4"/>
        <v>4.9400000000000004</v>
      </c>
      <c r="AC11" s="3">
        <f t="shared" si="1"/>
        <v>0</v>
      </c>
      <c r="AD11" s="31">
        <f t="shared" si="1"/>
        <v>3.36</v>
      </c>
      <c r="AE11">
        <f t="shared" si="5"/>
        <v>109.92310838977296</v>
      </c>
    </row>
    <row r="12" spans="1:39" ht="15" thickBot="1" x14ac:dyDescent="0.4">
      <c r="A12" s="31">
        <v>5.46</v>
      </c>
      <c r="B12" s="3">
        <v>0</v>
      </c>
      <c r="C12" s="31">
        <v>3.67</v>
      </c>
      <c r="E12" t="s">
        <v>20</v>
      </c>
      <c r="I12" s="3" t="s">
        <v>21</v>
      </c>
      <c r="J12" s="3">
        <v>0.05</v>
      </c>
      <c r="N12" s="31">
        <f t="shared" si="2"/>
        <v>5.46</v>
      </c>
      <c r="O12" s="3">
        <f t="shared" si="0"/>
        <v>0</v>
      </c>
      <c r="P12" s="31">
        <f t="shared" si="0"/>
        <v>3.67</v>
      </c>
      <c r="Q12">
        <v>3.5753610717036191</v>
      </c>
      <c r="R12">
        <f t="shared" si="3"/>
        <v>9.4638928296380875E-2</v>
      </c>
      <c r="AB12" s="31">
        <f t="shared" si="4"/>
        <v>5.46</v>
      </c>
      <c r="AC12" s="3">
        <f t="shared" si="1"/>
        <v>0</v>
      </c>
      <c r="AD12" s="31">
        <f t="shared" si="1"/>
        <v>3.67</v>
      </c>
      <c r="AE12">
        <f t="shared" si="5"/>
        <v>109.92310838977296</v>
      </c>
      <c r="AG12" t="s">
        <v>20</v>
      </c>
      <c r="AK12" s="3" t="s">
        <v>21</v>
      </c>
      <c r="AL12" s="3">
        <v>0.05</v>
      </c>
    </row>
    <row r="13" spans="1:39" ht="15" thickTop="1" x14ac:dyDescent="0.35">
      <c r="A13" s="31">
        <v>6.04</v>
      </c>
      <c r="B13" s="3">
        <v>0</v>
      </c>
      <c r="C13" s="31">
        <v>3.71</v>
      </c>
      <c r="E13" s="17"/>
      <c r="F13" s="17" t="s">
        <v>22</v>
      </c>
      <c r="G13" s="17" t="s">
        <v>23</v>
      </c>
      <c r="H13" s="17" t="s">
        <v>24</v>
      </c>
      <c r="I13" s="17" t="s">
        <v>25</v>
      </c>
      <c r="J13" s="17" t="s">
        <v>26</v>
      </c>
      <c r="K13" s="17" t="s">
        <v>27</v>
      </c>
      <c r="N13" s="31">
        <f t="shared" si="2"/>
        <v>6.04</v>
      </c>
      <c r="O13" s="3">
        <f t="shared" si="0"/>
        <v>0</v>
      </c>
      <c r="P13" s="31">
        <f t="shared" si="0"/>
        <v>3.71</v>
      </c>
      <c r="Q13">
        <v>3.7440832151108578</v>
      </c>
      <c r="R13">
        <f t="shared" si="3"/>
        <v>-3.4083215110857878E-2</v>
      </c>
      <c r="AB13" s="31">
        <f t="shared" si="4"/>
        <v>6.04</v>
      </c>
      <c r="AC13" s="3">
        <f t="shared" si="1"/>
        <v>0</v>
      </c>
      <c r="AD13" s="31">
        <f t="shared" si="1"/>
        <v>3.71</v>
      </c>
      <c r="AE13">
        <f t="shared" si="5"/>
        <v>109.92310838977296</v>
      </c>
      <c r="AG13" s="17"/>
      <c r="AH13" s="17" t="s">
        <v>22</v>
      </c>
      <c r="AI13" s="17" t="s">
        <v>23</v>
      </c>
      <c r="AJ13" s="17" t="s">
        <v>24</v>
      </c>
      <c r="AK13" s="17" t="s">
        <v>25</v>
      </c>
      <c r="AL13" s="17" t="s">
        <v>26</v>
      </c>
      <c r="AM13" s="17" t="s">
        <v>27</v>
      </c>
    </row>
    <row r="14" spans="1:39" x14ac:dyDescent="0.35">
      <c r="A14" s="31">
        <v>6.41</v>
      </c>
      <c r="B14" s="3">
        <v>1</v>
      </c>
      <c r="C14" s="31">
        <v>3.92</v>
      </c>
      <c r="E14" t="s">
        <v>28</v>
      </c>
      <c r="F14">
        <f>COUNT(A4:B4)</f>
        <v>2</v>
      </c>
      <c r="G14">
        <f>DEVSQ(MMULT([3]!DEsign(A4:B24),F19:F21))</f>
        <v>0.20648831508364368</v>
      </c>
      <c r="H14">
        <f>G14/F14</f>
        <v>0.10324415754182184</v>
      </c>
      <c r="I14">
        <f>H14/H15</f>
        <v>2.5347433842712621</v>
      </c>
      <c r="J14">
        <f>FDIST(I14,F14,F15)</f>
        <v>0.10717935787278422</v>
      </c>
      <c r="K14" s="3" t="str">
        <f>IF(J14&lt;J12,"yes","no")</f>
        <v>no</v>
      </c>
      <c r="N14" s="31">
        <f t="shared" si="2"/>
        <v>6.41</v>
      </c>
      <c r="O14" s="3">
        <f t="shared" si="0"/>
        <v>1</v>
      </c>
      <c r="P14" s="31">
        <f t="shared" si="0"/>
        <v>3.92</v>
      </c>
      <c r="Q14">
        <v>3.6011519597908466</v>
      </c>
      <c r="R14">
        <f t="shared" si="3"/>
        <v>0.31884804020915336</v>
      </c>
      <c r="AB14" s="31">
        <f t="shared" si="4"/>
        <v>6.41</v>
      </c>
      <c r="AC14" s="3">
        <f t="shared" si="1"/>
        <v>1</v>
      </c>
      <c r="AD14" s="31">
        <f t="shared" si="1"/>
        <v>3.92</v>
      </c>
      <c r="AE14">
        <f>X21</f>
        <v>15.354062834756373</v>
      </c>
      <c r="AG14" t="s">
        <v>28</v>
      </c>
      <c r="AH14">
        <f>COUNT(AB4:AC4)</f>
        <v>2</v>
      </c>
      <c r="AI14" cm="1">
        <f t="array" ref="AI14">SUMPRODUCT(AE4:AE24,MMULT([3]!DEsign(AB4:AC24),AH19:AH21)^2)-SUMPRODUCT(AD4:AD24,AE4:AE24)^2/SUM(AE4:AE24)</f>
        <v>13.076144671360453</v>
      </c>
      <c r="AJ14">
        <f>AI14/AH14</f>
        <v>6.5380723356802264</v>
      </c>
      <c r="AK14">
        <f>AJ14/AJ15</f>
        <v>6.197287655856706</v>
      </c>
      <c r="AL14">
        <f>FDIST(AK14,AH14,AH15)</f>
        <v>8.9595836734225956E-3</v>
      </c>
      <c r="AM14" s="3" t="str">
        <f>IF(AL14&lt;AL12,"yes","no")</f>
        <v>yes</v>
      </c>
    </row>
    <row r="15" spans="1:39" x14ac:dyDescent="0.35">
      <c r="A15" s="31">
        <v>6.01</v>
      </c>
      <c r="B15" s="3">
        <v>1</v>
      </c>
      <c r="C15" s="31">
        <v>3.16</v>
      </c>
      <c r="E15" t="s">
        <v>29</v>
      </c>
      <c r="F15">
        <f>F16-F14</f>
        <v>18</v>
      </c>
      <c r="G15">
        <f>G16-G14</f>
        <v>0.73316882777349912</v>
      </c>
      <c r="H15">
        <f>G15/F15</f>
        <v>4.0731601542972173E-2</v>
      </c>
      <c r="N15" s="31">
        <f t="shared" si="2"/>
        <v>6.01</v>
      </c>
      <c r="O15" s="3">
        <f t="shared" si="0"/>
        <v>1</v>
      </c>
      <c r="P15" s="31">
        <f t="shared" si="0"/>
        <v>3.16</v>
      </c>
      <c r="Q15">
        <v>3.4847918608893025</v>
      </c>
      <c r="R15">
        <f t="shared" si="3"/>
        <v>-0.32479186088930234</v>
      </c>
      <c r="AB15" s="31">
        <f t="shared" si="4"/>
        <v>6.01</v>
      </c>
      <c r="AC15" s="3">
        <f t="shared" si="1"/>
        <v>1</v>
      </c>
      <c r="AD15" s="31">
        <f t="shared" si="1"/>
        <v>3.16</v>
      </c>
      <c r="AE15">
        <f t="shared" ref="AE15:AE24" si="6">AE14</f>
        <v>15.354062834756373</v>
      </c>
      <c r="AG15" t="s">
        <v>29</v>
      </c>
      <c r="AH15">
        <f>AH16-AH14</f>
        <v>18</v>
      </c>
      <c r="AI15">
        <f>AI16-AI14</f>
        <v>18.989807892978206</v>
      </c>
      <c r="AJ15">
        <f>AI15/AH15</f>
        <v>1.054989327387678</v>
      </c>
    </row>
    <row r="16" spans="1:39" x14ac:dyDescent="0.35">
      <c r="A16" s="31">
        <v>6.15</v>
      </c>
      <c r="B16" s="3">
        <v>1</v>
      </c>
      <c r="C16" s="31">
        <v>3.58</v>
      </c>
      <c r="E16" s="14" t="s">
        <v>30</v>
      </c>
      <c r="F16" s="14">
        <f>F10-1</f>
        <v>20</v>
      </c>
      <c r="G16" s="14">
        <f>DEVSQ(C4:C24)</f>
        <v>0.93965714285714286</v>
      </c>
      <c r="H16" s="14"/>
      <c r="I16" s="14"/>
      <c r="J16" s="14"/>
      <c r="K16" s="14"/>
      <c r="N16" s="31">
        <f t="shared" si="2"/>
        <v>6.15</v>
      </c>
      <c r="O16" s="3">
        <f t="shared" si="0"/>
        <v>1</v>
      </c>
      <c r="P16" s="31">
        <f t="shared" si="0"/>
        <v>3.58</v>
      </c>
      <c r="Q16">
        <v>3.5255178955048425</v>
      </c>
      <c r="R16">
        <f t="shared" si="3"/>
        <v>5.4482104495157557E-2</v>
      </c>
      <c r="AB16" s="31">
        <f t="shared" si="4"/>
        <v>6.15</v>
      </c>
      <c r="AC16" s="3">
        <f t="shared" si="1"/>
        <v>1</v>
      </c>
      <c r="AD16" s="31">
        <f t="shared" si="1"/>
        <v>3.58</v>
      </c>
      <c r="AE16">
        <f t="shared" si="6"/>
        <v>15.354062834756373</v>
      </c>
      <c r="AG16" s="14" t="s">
        <v>30</v>
      </c>
      <c r="AH16" s="14">
        <f>AH10-1</f>
        <v>20</v>
      </c>
      <c r="AI16" s="14">
        <f>SUMPRODUCT(AD4:AD24^2,AE4:AE24)-SUMPRODUCT(AD4:AD24,AE4:AE24)^2/SUM(AE4:AE24)</f>
        <v>32.065952564338659</v>
      </c>
      <c r="AJ16" s="14"/>
      <c r="AK16" s="14"/>
      <c r="AL16" s="14"/>
      <c r="AM16" s="14"/>
    </row>
    <row r="17" spans="1:40" ht="15" thickBot="1" x14ac:dyDescent="0.4">
      <c r="A17" s="31">
        <v>5.8</v>
      </c>
      <c r="B17" s="3">
        <v>1</v>
      </c>
      <c r="C17" s="31">
        <v>3.22</v>
      </c>
      <c r="N17" s="31">
        <f t="shared" si="2"/>
        <v>5.8</v>
      </c>
      <c r="O17" s="3">
        <f t="shared" si="0"/>
        <v>1</v>
      </c>
      <c r="P17" s="31">
        <f t="shared" si="0"/>
        <v>3.22</v>
      </c>
      <c r="Q17">
        <v>3.4237028089659916</v>
      </c>
      <c r="R17">
        <f t="shared" si="3"/>
        <v>-0.20370280896599136</v>
      </c>
      <c r="AB17" s="31">
        <f t="shared" si="4"/>
        <v>5.8</v>
      </c>
      <c r="AC17" s="3">
        <f t="shared" si="1"/>
        <v>1</v>
      </c>
      <c r="AD17" s="31">
        <f t="shared" si="1"/>
        <v>3.22</v>
      </c>
      <c r="AE17">
        <f t="shared" si="6"/>
        <v>15.354062834756373</v>
      </c>
    </row>
    <row r="18" spans="1:40" ht="15" thickTop="1" x14ac:dyDescent="0.35">
      <c r="A18" s="31">
        <v>5.94</v>
      </c>
      <c r="B18" s="3">
        <v>1</v>
      </c>
      <c r="C18" s="31">
        <v>3.3</v>
      </c>
      <c r="E18" s="17"/>
      <c r="F18" s="17" t="s">
        <v>31</v>
      </c>
      <c r="G18" s="17" t="s">
        <v>32</v>
      </c>
      <c r="H18" s="17" t="s">
        <v>33</v>
      </c>
      <c r="I18" s="17" t="s">
        <v>26</v>
      </c>
      <c r="J18" s="17" t="s">
        <v>5</v>
      </c>
      <c r="K18" s="17" t="s">
        <v>6</v>
      </c>
      <c r="L18" s="17" t="s">
        <v>62</v>
      </c>
      <c r="N18" s="31">
        <f t="shared" si="2"/>
        <v>5.94</v>
      </c>
      <c r="O18" s="3">
        <f t="shared" si="0"/>
        <v>1</v>
      </c>
      <c r="P18" s="31">
        <f t="shared" si="0"/>
        <v>3.3</v>
      </c>
      <c r="Q18">
        <v>3.4644288435815325</v>
      </c>
      <c r="R18">
        <f t="shared" si="3"/>
        <v>-0.16442884358153265</v>
      </c>
      <c r="AB18" s="31">
        <f t="shared" si="4"/>
        <v>5.94</v>
      </c>
      <c r="AC18" s="3">
        <f t="shared" si="1"/>
        <v>1</v>
      </c>
      <c r="AD18" s="31">
        <f t="shared" si="1"/>
        <v>3.3</v>
      </c>
      <c r="AE18">
        <f t="shared" si="6"/>
        <v>15.354062834756373</v>
      </c>
      <c r="AG18" s="17"/>
      <c r="AH18" s="17" t="s">
        <v>31</v>
      </c>
      <c r="AI18" s="17" t="s">
        <v>32</v>
      </c>
      <c r="AJ18" s="17" t="s">
        <v>33</v>
      </c>
      <c r="AK18" s="17" t="s">
        <v>26</v>
      </c>
      <c r="AL18" s="17" t="s">
        <v>5</v>
      </c>
      <c r="AM18" s="17" t="s">
        <v>6</v>
      </c>
      <c r="AN18" s="17" t="s">
        <v>62</v>
      </c>
    </row>
    <row r="19" spans="1:40" x14ac:dyDescent="0.35">
      <c r="A19" s="31">
        <v>5.32</v>
      </c>
      <c r="B19" s="3">
        <v>1</v>
      </c>
      <c r="C19" s="31">
        <v>3.13</v>
      </c>
      <c r="E19" t="s">
        <v>34</v>
      </c>
      <c r="F19">
        <f t="array" ref="F19:G21">[3]!RegCoeff(A4:B24,C4:C24)</f>
        <v>1.987045721697539</v>
      </c>
      <c r="G19">
        <v>0.69963854786881363</v>
      </c>
      <c r="H19">
        <f>F19/G19</f>
        <v>2.8401032615345856</v>
      </c>
      <c r="I19">
        <f>TDIST(ABS(H19),$F$15,2)</f>
        <v>1.0860469912436685E-2</v>
      </c>
      <c r="J19">
        <f>F19-TINV(J$12,$F$15)*G19</f>
        <v>0.5171596762777142</v>
      </c>
      <c r="K19">
        <f>F19+TINV(J$12,$F$15)*G19</f>
        <v>3.4569317671173638</v>
      </c>
      <c r="N19" s="31">
        <f t="shared" si="2"/>
        <v>5.32</v>
      </c>
      <c r="O19" s="3">
        <f t="shared" si="2"/>
        <v>1</v>
      </c>
      <c r="P19" s="31">
        <f t="shared" si="2"/>
        <v>3.13</v>
      </c>
      <c r="Q19">
        <v>3.2840706902841381</v>
      </c>
      <c r="R19">
        <f t="shared" si="3"/>
        <v>-0.15407069028413822</v>
      </c>
      <c r="AB19" s="31">
        <f t="shared" si="4"/>
        <v>5.32</v>
      </c>
      <c r="AC19" s="3">
        <f t="shared" si="4"/>
        <v>1</v>
      </c>
      <c r="AD19" s="31">
        <f t="shared" si="4"/>
        <v>3.13</v>
      </c>
      <c r="AE19">
        <f t="shared" si="6"/>
        <v>15.354062834756373</v>
      </c>
      <c r="AG19" t="s">
        <v>34</v>
      </c>
      <c r="AH19">
        <f t="array" ref="AH19:AI21">[3]!WRegCoeff(AB4:AC24,AD4:AD24,AE4:AE24)</f>
        <v>1.9430365811803476</v>
      </c>
      <c r="AI19">
        <v>0.4488198030971946</v>
      </c>
      <c r="AJ19">
        <f>AH19/AI19</f>
        <v>4.329213122442308</v>
      </c>
      <c r="AK19">
        <f>TDIST(ABS(AJ19),$AH$15,2)</f>
        <v>4.0406992330126136E-4</v>
      </c>
      <c r="AL19">
        <f>AH19-TINV(AL$12,$AH$15)*AI19</f>
        <v>1.0001011647568085</v>
      </c>
      <c r="AM19">
        <f>AH19+TINV(AL$12,$AH$15)*AI19</f>
        <v>2.8859719976038867</v>
      </c>
    </row>
    <row r="20" spans="1:40" x14ac:dyDescent="0.35">
      <c r="A20" s="31">
        <v>6.12</v>
      </c>
      <c r="B20" s="3">
        <v>1</v>
      </c>
      <c r="C20" s="31">
        <v>3.46</v>
      </c>
      <c r="E20" t="str">
        <f t="array" ref="E20:E21">TRANSPOSE(A3:B3)</f>
        <v>Score</v>
      </c>
      <c r="F20">
        <v>0.29090024725386077</v>
      </c>
      <c r="G20">
        <v>0.13476239145702998</v>
      </c>
      <c r="H20">
        <f t="shared" ref="H20:H21" si="7">F20/G20</f>
        <v>2.1586159469915356</v>
      </c>
      <c r="I20">
        <f t="shared" ref="I20:I21" si="8">TDIST(ABS(H20),$F$15,2)</f>
        <v>4.4629937720416409E-2</v>
      </c>
      <c r="J20">
        <f t="shared" ref="J20:J21" si="9">F20-TINV(J$12,$F$15)*G20</f>
        <v>7.7749688461959399E-3</v>
      </c>
      <c r="K20">
        <f t="shared" ref="K20:K21" si="10">F20+TINV(J$12,$F$15)*G20</f>
        <v>0.57402552566152565</v>
      </c>
      <c r="L20">
        <f>[3]!VIF(A4:B24,1)</f>
        <v>2.0398868152506067</v>
      </c>
      <c r="N20" s="31">
        <f t="shared" si="2"/>
        <v>6.12</v>
      </c>
      <c r="O20" s="3">
        <f t="shared" si="2"/>
        <v>1</v>
      </c>
      <c r="P20" s="31">
        <f t="shared" si="2"/>
        <v>3.46</v>
      </c>
      <c r="Q20">
        <v>3.5167908880872272</v>
      </c>
      <c r="R20">
        <f t="shared" si="3"/>
        <v>-5.6790888087227209E-2</v>
      </c>
      <c r="U20" s="3" t="s">
        <v>66</v>
      </c>
      <c r="V20" s="3" t="s">
        <v>67</v>
      </c>
      <c r="W20" s="3" t="s">
        <v>68</v>
      </c>
      <c r="X20" s="3" t="s">
        <v>10</v>
      </c>
      <c r="AB20" s="31">
        <f t="shared" si="4"/>
        <v>6.12</v>
      </c>
      <c r="AC20" s="3">
        <f t="shared" si="4"/>
        <v>1</v>
      </c>
      <c r="AD20" s="31">
        <f t="shared" si="4"/>
        <v>3.46</v>
      </c>
      <c r="AE20">
        <f t="shared" si="6"/>
        <v>15.354062834756373</v>
      </c>
      <c r="AG20" t="str">
        <f t="array" ref="AG20:AG21">TRANSPOSE(AB3:AC3)</f>
        <v>Score</v>
      </c>
      <c r="AH20">
        <v>0.29941265354346625</v>
      </c>
      <c r="AI20">
        <v>8.6605286493557684E-2</v>
      </c>
      <c r="AJ20">
        <f t="shared" ref="AJ20:AJ21" si="11">AH20/AI20</f>
        <v>3.4572098963697635</v>
      </c>
      <c r="AK20">
        <f t="shared" ref="AK20:AK21" si="12">TDIST(ABS(AJ20),$AH$15,2)</f>
        <v>2.8114235520700507E-3</v>
      </c>
      <c r="AL20">
        <f t="shared" ref="AL20:AL21" si="13">AH20-TINV(AL$12,$AH$15)*AI20</f>
        <v>0.11746169834776143</v>
      </c>
      <c r="AM20">
        <f t="shared" ref="AM20:AM21" si="14">AH20+TINV(AL$12,$AH$15)*AI20</f>
        <v>0.48136360873917106</v>
      </c>
      <c r="AN20">
        <f>[3]!WVIF(AB4:AC24,AE4:AE24,1)</f>
        <v>1.4634364176540284</v>
      </c>
    </row>
    <row r="21" spans="1:40" x14ac:dyDescent="0.35">
      <c r="A21" s="31">
        <v>5.34</v>
      </c>
      <c r="B21" s="3">
        <v>1</v>
      </c>
      <c r="C21" s="31">
        <v>3.64</v>
      </c>
      <c r="E21" s="14" t="str">
        <v>Gender</v>
      </c>
      <c r="F21" s="14">
        <v>-0.25056434680393991</v>
      </c>
      <c r="G21" s="14">
        <v>0.12594533431693697</v>
      </c>
      <c r="H21" s="14">
        <f t="shared" si="7"/>
        <v>-1.9894690673765145</v>
      </c>
      <c r="I21" s="14">
        <f t="shared" si="8"/>
        <v>6.2064270295521896E-2</v>
      </c>
      <c r="J21" s="14">
        <f t="shared" si="9"/>
        <v>-0.51516567553591874</v>
      </c>
      <c r="K21" s="14">
        <f t="shared" si="10"/>
        <v>1.4036981928038927E-2</v>
      </c>
      <c r="L21" s="14">
        <f>[3]!VIF(A4:B24,2)</f>
        <v>2.0398868152506031</v>
      </c>
      <c r="N21" s="31">
        <f t="shared" si="2"/>
        <v>5.34</v>
      </c>
      <c r="O21" s="3">
        <f t="shared" si="2"/>
        <v>1</v>
      </c>
      <c r="P21" s="31">
        <f t="shared" si="2"/>
        <v>3.64</v>
      </c>
      <c r="Q21">
        <v>3.2898886952292159</v>
      </c>
      <c r="R21">
        <f t="shared" si="3"/>
        <v>0.35011130477078423</v>
      </c>
      <c r="T21" t="s">
        <v>69</v>
      </c>
      <c r="U21" s="32">
        <f>MIN(R14:R24)</f>
        <v>-0.32479186088930234</v>
      </c>
      <c r="V21" s="33">
        <f>MAX(R14:R24)</f>
        <v>0.35011130477078423</v>
      </c>
      <c r="W21" s="33">
        <f>VAR(R14:R24)</f>
        <v>6.512934138424524E-2</v>
      </c>
      <c r="X21" s="34">
        <f>1/W21</f>
        <v>15.354062834756373</v>
      </c>
      <c r="AB21" s="31">
        <f t="shared" si="4"/>
        <v>5.34</v>
      </c>
      <c r="AC21" s="3">
        <f t="shared" si="4"/>
        <v>1</v>
      </c>
      <c r="AD21" s="31">
        <f t="shared" si="4"/>
        <v>3.64</v>
      </c>
      <c r="AE21">
        <f t="shared" si="6"/>
        <v>15.354062834756373</v>
      </c>
      <c r="AG21" s="14" t="str">
        <v>Gender</v>
      </c>
      <c r="AH21" s="14">
        <v>-0.25624444336444618</v>
      </c>
      <c r="AI21" s="14">
        <v>0.10269271297710414</v>
      </c>
      <c r="AJ21" s="14">
        <f t="shared" si="11"/>
        <v>-2.4952543947453911</v>
      </c>
      <c r="AK21" s="14">
        <f t="shared" si="12"/>
        <v>2.2529100292191209E-2</v>
      </c>
      <c r="AL21" s="14">
        <f t="shared" si="13"/>
        <v>-0.47199382743019114</v>
      </c>
      <c r="AM21" s="14">
        <f t="shared" si="14"/>
        <v>-4.0495059298701258E-2</v>
      </c>
      <c r="AN21" s="14">
        <f>[3]!WVIF(AB4:AC24,AE4:AE24,2)</f>
        <v>1.4634364176539967</v>
      </c>
    </row>
    <row r="22" spans="1:40" x14ac:dyDescent="0.35">
      <c r="A22" s="31">
        <v>5.76</v>
      </c>
      <c r="B22" s="3">
        <v>1</v>
      </c>
      <c r="C22" s="31">
        <v>3.55</v>
      </c>
      <c r="N22" s="31">
        <f t="shared" si="2"/>
        <v>5.76</v>
      </c>
      <c r="O22" s="3">
        <f t="shared" si="2"/>
        <v>1</v>
      </c>
      <c r="P22" s="31">
        <f t="shared" si="2"/>
        <v>3.55</v>
      </c>
      <c r="Q22">
        <v>3.4120667990758369</v>
      </c>
      <c r="R22">
        <f t="shared" si="3"/>
        <v>0.13793320092416295</v>
      </c>
      <c r="T22" t="s">
        <v>70</v>
      </c>
      <c r="U22" s="15">
        <f>MIN(R4:R13)</f>
        <v>-0.11481897774715177</v>
      </c>
      <c r="V22" s="14">
        <f>MAX(R5:R13)</f>
        <v>0.16754306675854291</v>
      </c>
      <c r="W22" s="14">
        <f>VAR(R4:R13)</f>
        <v>9.0972682145607706E-3</v>
      </c>
      <c r="X22" s="16">
        <f>1/W22</f>
        <v>109.92310838977296</v>
      </c>
      <c r="AB22" s="31">
        <f t="shared" si="4"/>
        <v>5.76</v>
      </c>
      <c r="AC22" s="3">
        <f t="shared" si="4"/>
        <v>1</v>
      </c>
      <c r="AD22" s="31">
        <f t="shared" si="4"/>
        <v>3.55</v>
      </c>
      <c r="AE22">
        <f t="shared" si="6"/>
        <v>15.354062834756373</v>
      </c>
    </row>
    <row r="23" spans="1:40" x14ac:dyDescent="0.35">
      <c r="A23" s="31">
        <v>5.65</v>
      </c>
      <c r="B23" s="3">
        <v>1</v>
      </c>
      <c r="C23" s="31">
        <v>3.72</v>
      </c>
      <c r="N23" s="31">
        <f t="shared" si="2"/>
        <v>5.65</v>
      </c>
      <c r="O23" s="3">
        <f t="shared" si="2"/>
        <v>1</v>
      </c>
      <c r="P23" s="31">
        <f t="shared" si="2"/>
        <v>3.72</v>
      </c>
      <c r="Q23">
        <v>3.3800677718779122</v>
      </c>
      <c r="R23">
        <f t="shared" si="3"/>
        <v>0.33993222812208801</v>
      </c>
      <c r="AB23" s="31">
        <f t="shared" si="4"/>
        <v>5.65</v>
      </c>
      <c r="AC23" s="3">
        <f t="shared" si="4"/>
        <v>1</v>
      </c>
      <c r="AD23" s="31">
        <f t="shared" si="4"/>
        <v>3.72</v>
      </c>
      <c r="AE23">
        <f t="shared" si="6"/>
        <v>15.354062834756373</v>
      </c>
      <c r="AN23">
        <f t="array" ref="AN23:AN25">[3]!WVIF(AB4:AC24,AE4:AE24)</f>
        <v>1.4634364176540284</v>
      </c>
    </row>
    <row r="24" spans="1:40" x14ac:dyDescent="0.35">
      <c r="A24" s="31">
        <v>5.71</v>
      </c>
      <c r="B24" s="3">
        <v>1</v>
      </c>
      <c r="C24" s="31">
        <v>3.1</v>
      </c>
      <c r="N24" s="35">
        <f t="shared" si="2"/>
        <v>5.71</v>
      </c>
      <c r="O24" s="24">
        <f t="shared" si="2"/>
        <v>1</v>
      </c>
      <c r="P24" s="35">
        <f t="shared" si="2"/>
        <v>3.1</v>
      </c>
      <c r="Q24" s="14">
        <v>3.3975217867131438</v>
      </c>
      <c r="R24" s="14">
        <f t="shared" si="3"/>
        <v>-0.29752178671314367</v>
      </c>
      <c r="AB24" s="35">
        <f t="shared" si="4"/>
        <v>5.71</v>
      </c>
      <c r="AC24" s="24">
        <f t="shared" si="4"/>
        <v>1</v>
      </c>
      <c r="AD24" s="35">
        <f t="shared" si="4"/>
        <v>3.1</v>
      </c>
      <c r="AE24" s="14">
        <f t="shared" si="6"/>
        <v>15.354062834756373</v>
      </c>
      <c r="AN24">
        <v>1.4634364176539967</v>
      </c>
    </row>
    <row r="25" spans="1:40" x14ac:dyDescent="0.35">
      <c r="AN25" t="e">
        <v>#N/A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Title</vt:lpstr>
      <vt:lpstr>Ex 1</vt:lpstr>
      <vt:lpstr>Ex 2</vt:lpstr>
      <vt:lpstr>Ex 3</vt:lpstr>
      <vt:lpstr>Ex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2026-01-09T18:39:43Z</dcterms:created>
  <dcterms:modified xsi:type="dcterms:W3CDTF">2026-01-09T18:43:50Z</dcterms:modified>
</cp:coreProperties>
</file>