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6F093D17-4D1E-4BE7-A556-5B2EB4E396B4}" xr6:coauthVersionLast="47" xr6:coauthVersionMax="47" xr10:uidLastSave="{00000000-0000-0000-0000-000000000000}"/>
  <bookViews>
    <workbookView xWindow="-110" yWindow="-110" windowWidth="19420" windowHeight="10300" xr2:uid="{64F09A6E-8A1B-4405-9058-BC36C8EA8C20}"/>
  </bookViews>
  <sheets>
    <sheet name="Title" sheetId="2" r:id="rId1"/>
    <sheet name="Trim T" sheetId="1" r:id="rId2"/>
  </sheets>
  <externalReferences>
    <externalReference r:id="rId3"/>
    <externalReference r:id="rId4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4" i="1" l="1"/>
  <c r="AC24" i="1"/>
  <c r="Y24" i="1"/>
  <c r="Z24" i="1" s="1"/>
  <c r="Z25" i="1" s="1"/>
  <c r="AD23" i="1"/>
  <c r="AC23" i="1"/>
  <c r="Z21" i="1"/>
  <c r="Z22" i="1" s="1"/>
  <c r="Y21" i="1"/>
  <c r="Y22" i="1" s="1"/>
  <c r="R18" i="1"/>
  <c r="S18" i="1" s="1"/>
  <c r="Q18" i="1"/>
  <c r="U18" i="1" s="1"/>
  <c r="K18" i="1"/>
  <c r="H20" i="1"/>
  <c r="G20" i="1"/>
  <c r="G18" i="1" a="1"/>
  <c r="H19" i="1" s="1"/>
  <c r="R17" i="1"/>
  <c r="Q17" i="1"/>
  <c r="U17" i="1" s="1"/>
  <c r="AL15" i="1"/>
  <c r="AL17" i="1" s="1"/>
  <c r="AK15" i="1"/>
  <c r="AK17" i="1" s="1"/>
  <c r="K15" i="1"/>
  <c r="AL14" i="1"/>
  <c r="AK14" i="1"/>
  <c r="Y14" i="1"/>
  <c r="K14" i="1"/>
  <c r="K13" i="1"/>
  <c r="K12" i="1"/>
  <c r="AT11" i="1" a="1"/>
  <c r="AT17" i="1" s="1"/>
  <c r="AO11" i="1" a="1"/>
  <c r="AO21" i="1" s="1"/>
  <c r="AQ21" i="1" s="1"/>
  <c r="K11" i="1"/>
  <c r="AL8" i="1"/>
  <c r="AL10" i="1" s="1"/>
  <c r="AK8" i="1"/>
  <c r="AK10" i="1" s="1"/>
  <c r="K8" i="1"/>
  <c r="AL7" i="1"/>
  <c r="AK7" i="1"/>
  <c r="Z7" i="1"/>
  <c r="Y7" i="1"/>
  <c r="K7" i="1"/>
  <c r="K5" i="1"/>
  <c r="E5" i="1" a="1"/>
  <c r="E14" i="1" s="1"/>
  <c r="D5" i="1" a="1"/>
  <c r="D14" i="1" s="1"/>
  <c r="K4" i="1"/>
  <c r="Y25" i="1"/>
  <c r="AD22" i="1"/>
  <c r="AC22" i="1"/>
  <c r="AD21" i="1"/>
  <c r="AC21" i="1"/>
  <c r="AD20" i="1"/>
  <c r="AC20" i="1"/>
  <c r="AH19" i="1"/>
  <c r="AG19" i="1"/>
  <c r="AD19" i="1"/>
  <c r="AC19" i="1"/>
  <c r="AH18" i="1" a="1"/>
  <c r="AH18" i="1" s="1"/>
  <c r="AH11" i="1" s="1"/>
  <c r="AD18" i="1"/>
  <c r="AC18" i="1"/>
  <c r="AH17" i="1"/>
  <c r="AG17" i="1"/>
  <c r="AG18" i="1" s="1" a="1"/>
  <c r="AG18" i="1" s="1"/>
  <c r="AG11" i="1" s="1"/>
  <c r="AD17" i="1"/>
  <c r="AC17" i="1"/>
  <c r="AC15" i="1" s="1"/>
  <c r="AH16" i="1"/>
  <c r="AG16" i="1"/>
  <c r="AG9" i="1" s="1"/>
  <c r="AD16" i="1"/>
  <c r="AD15" i="1" s="1"/>
  <c r="AC16" i="1"/>
  <c r="AH15" i="1"/>
  <c r="AH9" i="1" s="1"/>
  <c r="AG15" i="1"/>
  <c r="R15" i="1"/>
  <c r="AH14" i="1" a="1"/>
  <c r="AH14" i="1" s="1"/>
  <c r="AG14" i="1" a="1"/>
  <c r="AG14" i="1" s="1"/>
  <c r="AD14" i="1"/>
  <c r="AC14" i="1"/>
  <c r="AS13" i="1"/>
  <c r="AS14" i="1" s="1"/>
  <c r="AN13" i="1"/>
  <c r="AP13" i="1" s="1"/>
  <c r="AD13" i="1"/>
  <c r="AC13" i="1"/>
  <c r="AS12" i="1"/>
  <c r="AN12" i="1"/>
  <c r="AP12" i="1" s="1"/>
  <c r="AD12" i="1"/>
  <c r="AC12" i="1"/>
  <c r="AP11" i="1"/>
  <c r="AD11" i="1"/>
  <c r="AC11" i="1"/>
  <c r="AH10" i="1"/>
  <c r="AG10" i="1"/>
  <c r="AD10" i="1"/>
  <c r="AC10" i="1"/>
  <c r="AD9" i="1"/>
  <c r="AC9" i="1"/>
  <c r="AT8" i="1"/>
  <c r="AO8" i="1"/>
  <c r="AD8" i="1"/>
  <c r="AC8" i="1"/>
  <c r="I8" i="1"/>
  <c r="H12" i="1" s="1"/>
  <c r="H8" i="1"/>
  <c r="AT7" i="1"/>
  <c r="AO7" i="1"/>
  <c r="AD7" i="1"/>
  <c r="AC7" i="1"/>
  <c r="P7" i="1"/>
  <c r="N17" i="1" s="1"/>
  <c r="N18" i="1" s="1"/>
  <c r="O7" i="1"/>
  <c r="N7" i="1"/>
  <c r="M7" i="1"/>
  <c r="AT6" i="1"/>
  <c r="AU6" i="1" s="1"/>
  <c r="AU11" i="1" s="1"/>
  <c r="AP6" i="1"/>
  <c r="AO6" i="1"/>
  <c r="AL6" i="1"/>
  <c r="AK6" i="1"/>
  <c r="AH6" i="1"/>
  <c r="AG6" i="1"/>
  <c r="AD6" i="1"/>
  <c r="AC6" i="1"/>
  <c r="Z6" i="1"/>
  <c r="Y6" i="1"/>
  <c r="P6" i="1"/>
  <c r="P17" i="1" s="1"/>
  <c r="P18" i="1" s="1"/>
  <c r="O6" i="1"/>
  <c r="N6" i="1"/>
  <c r="P12" i="1" s="1"/>
  <c r="M6" i="1"/>
  <c r="I6" i="1"/>
  <c r="H6" i="1"/>
  <c r="Z5" i="1"/>
  <c r="Y5" i="1"/>
  <c r="Y13" i="1" s="1"/>
  <c r="I5" i="1"/>
  <c r="H5" i="1"/>
  <c r="Z4" i="1"/>
  <c r="Y4" i="1"/>
  <c r="I4" i="1"/>
  <c r="I7" i="1" s="1"/>
  <c r="H4" i="1"/>
  <c r="H7" i="1" s="1"/>
  <c r="D5" i="1" l="1"/>
  <c r="H9" i="1" s="1"/>
  <c r="D8" i="1"/>
  <c r="D10" i="1"/>
  <c r="D11" i="1"/>
  <c r="D12" i="1"/>
  <c r="D15" i="1"/>
  <c r="E12" i="1"/>
  <c r="E15" i="1"/>
  <c r="AO13" i="1"/>
  <c r="AQ13" i="1" s="1"/>
  <c r="E5" i="1"/>
  <c r="I9" i="1" s="1"/>
  <c r="AT15" i="1"/>
  <c r="AV15" i="1" s="1"/>
  <c r="E6" i="1"/>
  <c r="AO16" i="1"/>
  <c r="AQ16" i="1" s="1"/>
  <c r="AT16" i="1"/>
  <c r="AT13" i="1"/>
  <c r="D6" i="1"/>
  <c r="E8" i="1"/>
  <c r="AO18" i="1"/>
  <c r="AT18" i="1"/>
  <c r="AV18" i="1" s="1"/>
  <c r="AO11" i="1"/>
  <c r="AQ11" i="1" s="1"/>
  <c r="AO12" i="1"/>
  <c r="AQ12" i="1" s="1"/>
  <c r="AT12" i="1"/>
  <c r="AV12" i="1" s="1"/>
  <c r="D7" i="1"/>
  <c r="E9" i="1"/>
  <c r="AO19" i="1"/>
  <c r="AQ19" i="1" s="1"/>
  <c r="AT19" i="1"/>
  <c r="AV19" i="1" s="1"/>
  <c r="AO14" i="1"/>
  <c r="AQ14" i="1" s="1"/>
  <c r="AT14" i="1"/>
  <c r="AO15" i="1"/>
  <c r="AO17" i="1"/>
  <c r="AQ17" i="1" s="1"/>
  <c r="E10" i="1"/>
  <c r="AO20" i="1"/>
  <c r="AQ20" i="1" s="1"/>
  <c r="AT20" i="1"/>
  <c r="AV20" i="1" s="1"/>
  <c r="AT11" i="1"/>
  <c r="AV11" i="1" s="1"/>
  <c r="E7" i="1"/>
  <c r="D9" i="1"/>
  <c r="E11" i="1"/>
  <c r="G19" i="1"/>
  <c r="D13" i="1"/>
  <c r="E13" i="1"/>
  <c r="G18" i="1"/>
  <c r="H18" i="1"/>
  <c r="P13" i="1"/>
  <c r="R13" i="1" s="1"/>
  <c r="S13" i="1" s="1"/>
  <c r="R12" i="1"/>
  <c r="AG21" i="1"/>
  <c r="AH12" i="1" s="1"/>
  <c r="AG8" i="1"/>
  <c r="AH8" i="1"/>
  <c r="AU12" i="1"/>
  <c r="H15" i="1"/>
  <c r="Y17" i="1"/>
  <c r="AS15" i="1"/>
  <c r="AU14" i="1"/>
  <c r="AQ15" i="1"/>
  <c r="AV13" i="1"/>
  <c r="AU13" i="1"/>
  <c r="O17" i="1"/>
  <c r="P8" i="1"/>
  <c r="N12" i="1" s="1"/>
  <c r="N13" i="1" s="1"/>
  <c r="AV14" i="1"/>
  <c r="O12" i="1"/>
  <c r="AN14" i="1"/>
  <c r="Q8" i="1"/>
  <c r="AV16" i="1"/>
  <c r="Z8" i="1"/>
  <c r="AV17" i="1"/>
  <c r="Y8" i="1"/>
  <c r="Y12" i="1" s="1"/>
  <c r="AQ18" i="1"/>
  <c r="T18" i="1"/>
  <c r="H11" i="1" l="1"/>
  <c r="H13" i="1" s="1"/>
  <c r="H14" i="1" s="1"/>
  <c r="H16" i="1" s="1"/>
  <c r="AG12" i="1"/>
  <c r="AP14" i="1"/>
  <c r="AN15" i="1"/>
  <c r="T13" i="1"/>
  <c r="AS16" i="1"/>
  <c r="AU15" i="1"/>
  <c r="AH7" i="1"/>
  <c r="AG7" i="1"/>
  <c r="Z17" i="1"/>
  <c r="Y15" i="1"/>
  <c r="O18" i="1"/>
  <c r="V17" i="1"/>
  <c r="V18" i="1" s="1"/>
  <c r="V12" i="1"/>
  <c r="V13" i="1" s="1"/>
  <c r="Q12" i="1"/>
  <c r="U12" i="1" s="1"/>
  <c r="O13" i="1"/>
  <c r="Q13" i="1" s="1"/>
  <c r="U13" i="1" s="1"/>
  <c r="Y18" i="1" l="1"/>
  <c r="Y16" i="1"/>
  <c r="AS17" i="1"/>
  <c r="AU16" i="1"/>
  <c r="AP15" i="1"/>
  <c r="AN16" i="1"/>
  <c r="AU17" i="1" l="1"/>
  <c r="AS18" i="1"/>
  <c r="Z18" i="1"/>
  <c r="Z19" i="1" s="1"/>
  <c r="Y19" i="1"/>
  <c r="AP16" i="1"/>
  <c r="AN17" i="1"/>
  <c r="AP17" i="1" l="1"/>
  <c r="AN18" i="1"/>
  <c r="AU18" i="1"/>
  <c r="AS19" i="1"/>
  <c r="AS20" i="1" l="1"/>
  <c r="AU20" i="1" s="1"/>
  <c r="AU19" i="1"/>
  <c r="AP18" i="1"/>
  <c r="AN19" i="1"/>
  <c r="AN20" i="1" l="1"/>
  <c r="AP19" i="1"/>
  <c r="AP20" i="1" l="1"/>
  <c r="AN21" i="1"/>
  <c r="AP21" i="1" s="1"/>
</calcChain>
</file>

<file path=xl/sharedStrings.xml><?xml version="1.0" encoding="utf-8"?>
<sst xmlns="http://schemas.openxmlformats.org/spreadsheetml/2006/main" count="145" uniqueCount="97">
  <si>
    <t>Trimmed Mean t Test</t>
  </si>
  <si>
    <t>T Test: Two Independent Samples</t>
  </si>
  <si>
    <t>Mann-Whitney Test for Two Independent Samples</t>
  </si>
  <si>
    <t>Data</t>
  </si>
  <si>
    <t>Winsorized</t>
  </si>
  <si>
    <t>New</t>
  </si>
  <si>
    <t>Old</t>
  </si>
  <si>
    <t>count</t>
  </si>
  <si>
    <t>SUMMARY</t>
  </si>
  <si>
    <t>Hyp Mean Diff</t>
  </si>
  <si>
    <t>Descriptive Statistics</t>
  </si>
  <si>
    <t>Box Plot</t>
  </si>
  <si>
    <t>Shapiro-Wilk Test</t>
  </si>
  <si>
    <t>QQ Plot - New</t>
  </si>
  <si>
    <t>QQ Plot - Old</t>
  </si>
  <si>
    <t>mean</t>
  </si>
  <si>
    <t>Groups</t>
  </si>
  <si>
    <t>Count</t>
  </si>
  <si>
    <t>Mean</t>
  </si>
  <si>
    <t>Variance</t>
  </si>
  <si>
    <t>Cohen d</t>
  </si>
  <si>
    <t>variance</t>
  </si>
  <si>
    <t>=VAR.S(A5:A15)</t>
  </si>
  <si>
    <t>median</t>
  </si>
  <si>
    <t>trim-count</t>
  </si>
  <si>
    <t>rank sum</t>
  </si>
  <si>
    <t>Min</t>
  </si>
  <si>
    <t>W-stat</t>
  </si>
  <si>
    <t>trim-mean</t>
  </si>
  <si>
    <t>Pooled</t>
  </si>
  <si>
    <t>U</t>
  </si>
  <si>
    <t>Standard Error</t>
  </si>
  <si>
    <t>Q1-Min</t>
  </si>
  <si>
    <t>p-value</t>
  </si>
  <si>
    <t>Std Dev</t>
  </si>
  <si>
    <t>winsor-var</t>
  </si>
  <si>
    <t>=VAR.S(D5:D15)</t>
  </si>
  <si>
    <t>Median</t>
  </si>
  <si>
    <t>Med-Q1</t>
  </si>
  <si>
    <t>alpha</t>
  </si>
  <si>
    <t>T TEST: Equal Variances</t>
  </si>
  <si>
    <t>Alpha</t>
  </si>
  <si>
    <t>one tail</t>
  </si>
  <si>
    <t>two tail</t>
  </si>
  <si>
    <t>Mode</t>
  </si>
  <si>
    <t>Q3-Med</t>
  </si>
  <si>
    <t>normal</t>
  </si>
  <si>
    <t>Interval</t>
  </si>
  <si>
    <t>Std Norm</t>
  </si>
  <si>
    <t>Std Data</t>
  </si>
  <si>
    <t>pooled var</t>
  </si>
  <si>
    <t xml:space="preserve"> </t>
  </si>
  <si>
    <t>std err</t>
  </si>
  <si>
    <t>t-stat</t>
  </si>
  <si>
    <t>df</t>
  </si>
  <si>
    <t>t-crit</t>
  </si>
  <si>
    <t>lower</t>
  </si>
  <si>
    <t>upper</t>
  </si>
  <si>
    <t>sig</t>
  </si>
  <si>
    <t>effect r</t>
  </si>
  <si>
    <t>Standard Deviation</t>
  </si>
  <si>
    <t>Max-Q3</t>
  </si>
  <si>
    <t>mean-diff</t>
  </si>
  <si>
    <t>One Tail</t>
  </si>
  <si>
    <t>Sample Variance</t>
  </si>
  <si>
    <t>d'Agostino-Pearson</t>
  </si>
  <si>
    <t>s.e.</t>
  </si>
  <si>
    <t>Two Tail</t>
  </si>
  <si>
    <t>Kurtosis</t>
  </si>
  <si>
    <t>std dev</t>
  </si>
  <si>
    <t>ties</t>
  </si>
  <si>
    <t>Skewness</t>
  </si>
  <si>
    <t>DA-stat</t>
  </si>
  <si>
    <t>T TEST: Unequal Variances</t>
  </si>
  <si>
    <t>z-score</t>
  </si>
  <si>
    <t>Range</t>
  </si>
  <si>
    <t>Q1</t>
  </si>
  <si>
    <t>=T.DIST.2T(ABS(H14),H15)</t>
  </si>
  <si>
    <t>Maximum</t>
  </si>
  <si>
    <t>U-crit</t>
  </si>
  <si>
    <t>Minimum</t>
  </si>
  <si>
    <t>Q3</t>
  </si>
  <si>
    <t>Sum</t>
  </si>
  <si>
    <t>Max</t>
  </si>
  <si>
    <t>sig (norm)</t>
  </si>
  <si>
    <t>Geometric Mean</t>
  </si>
  <si>
    <t>Harmonic Mean</t>
  </si>
  <si>
    <t>Grand Min</t>
  </si>
  <si>
    <t>sig (table)</t>
  </si>
  <si>
    <t>AAD</t>
  </si>
  <si>
    <t>MAD</t>
  </si>
  <si>
    <t>IQR</t>
  </si>
  <si>
    <t>sig (exact)</t>
  </si>
  <si>
    <t>Real Statistics Using Excel</t>
  </si>
  <si>
    <t>Updated</t>
  </si>
  <si>
    <t>Copyright © 2013 - 2026 Charles Zaiontz</t>
  </si>
  <si>
    <t>Trimmed Means t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</si>
</sst>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9" xfId="0" applyBorder="1"/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Box Plot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'Trim T'!$AF$7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5B9BD5"/>
                  </a:solidFill>
                </a14:hiddenFill>
              </a:ext>
            </a:extLst>
          </c:spPr>
          <c:invertIfNegative val="0"/>
          <c:cat>
            <c:strRef>
              <c:f>'Trim T'!$AG$6:$AH$6</c:f>
              <c:strCache>
                <c:ptCount val="2"/>
                <c:pt idx="0">
                  <c:v>New</c:v>
                </c:pt>
                <c:pt idx="1">
                  <c:v>Old</c:v>
                </c:pt>
              </c:strCache>
            </c:strRef>
          </c:cat>
          <c:val>
            <c:numRef>
              <c:f>'Trim T'!$AG$7:$AH$7</c:f>
              <c:numCache>
                <c:formatCode>General</c:formatCode>
                <c:ptCount val="2"/>
                <c:pt idx="0">
                  <c:v>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A8-4534-A01C-9E7D2B433A39}"/>
            </c:ext>
          </c:extLst>
        </c:ser>
        <c:ser>
          <c:idx val="1"/>
          <c:order val="1"/>
          <c:tx>
            <c:strRef>
              <c:f>'Trim T'!$AF$8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ED7D31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strRef>
              <c:f>'Trim T'!$AG$6:$AH$6</c:f>
              <c:strCache>
                <c:ptCount val="2"/>
                <c:pt idx="0">
                  <c:v>New</c:v>
                </c:pt>
                <c:pt idx="1">
                  <c:v>Old</c:v>
                </c:pt>
              </c:strCache>
            </c:strRef>
          </c:cat>
          <c:val>
            <c:numRef>
              <c:f>'Trim T'!$AG$8:$AH$8</c:f>
              <c:numCache>
                <c:formatCode>General</c:formatCode>
                <c:ptCount val="2"/>
                <c:pt idx="0">
                  <c:v>4</c:v>
                </c:pt>
                <c:pt idx="1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A8-4534-A01C-9E7D2B433A39}"/>
            </c:ext>
          </c:extLst>
        </c:ser>
        <c:ser>
          <c:idx val="2"/>
          <c:order val="2"/>
          <c:tx>
            <c:strRef>
              <c:f>'Trim T'!$AF$9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strRef>
              <c:f>'Trim T'!$AG$6:$AH$6</c:f>
              <c:strCache>
                <c:ptCount val="2"/>
                <c:pt idx="0">
                  <c:v>New</c:v>
                </c:pt>
                <c:pt idx="1">
                  <c:v>Old</c:v>
                </c:pt>
              </c:strCache>
            </c:strRef>
          </c:cat>
          <c:val>
            <c:numRef>
              <c:f>'Trim T'!$AG$9:$AH$9</c:f>
              <c:numCache>
                <c:formatCode>General</c:formatCode>
                <c:ptCount val="2"/>
                <c:pt idx="0">
                  <c:v>3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A8-4534-A01C-9E7D2B433A39}"/>
            </c:ext>
          </c:extLst>
        </c:ser>
        <c:ser>
          <c:idx val="3"/>
          <c:order val="3"/>
          <c:tx>
            <c:strRef>
              <c:f>'Trim T'!$AF$10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'Trim T'!$AG$11:$AH$11</c:f>
                <c:numCache>
                  <c:formatCode>General</c:formatCode>
                  <c:ptCount val="2"/>
                  <c:pt idx="0">
                    <c:v>16</c:v>
                  </c:pt>
                  <c:pt idx="1">
                    <c:v>11.5</c:v>
                  </c:pt>
                </c:numCache>
              </c:numRef>
            </c:plus>
          </c:errBars>
          <c:cat>
            <c:strRef>
              <c:f>'Trim T'!$AG$6:$AH$6</c:f>
              <c:strCache>
                <c:ptCount val="2"/>
                <c:pt idx="0">
                  <c:v>New</c:v>
                </c:pt>
                <c:pt idx="1">
                  <c:v>Old</c:v>
                </c:pt>
              </c:strCache>
            </c:strRef>
          </c:cat>
          <c:val>
            <c:numRef>
              <c:f>'Trim T'!$AG$10:$AH$10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A8-4534-A01C-9E7D2B433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512384"/>
        <c:axId val="133243264"/>
      </c:barChart>
      <c:scatterChart>
        <c:scatterStyle val="lineMarker"/>
        <c:varyColors val="0"/>
        <c:ser>
          <c:idx val="4"/>
          <c:order val="4"/>
          <c:tx>
            <c:v>m</c:v>
          </c:tx>
          <c:spPr>
            <a:ln w="19050">
              <a:noFill/>
            </a:ln>
          </c:spPr>
          <c:marker>
            <c:symbol val="x"/>
            <c:size val="5"/>
            <c:spPr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'Trim T'!$AG$12:$AH$12</c:f>
              <c:numCache>
                <c:formatCode>General</c:formatCode>
                <c:ptCount val="2"/>
                <c:pt idx="0">
                  <c:v>14.272727272727273</c:v>
                </c:pt>
                <c:pt idx="1">
                  <c:v>17.899999999999999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4A8-4534-A01C-9E7D2B433A39}"/>
            </c:ext>
          </c:extLst>
        </c:ser>
        <c:ser>
          <c:idx val="5"/>
          <c:order val="5"/>
          <c:tx>
            <c:v>x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1</c:v>
              </c:pt>
            </c:numLit>
          </c:xVal>
          <c:yVal>
            <c:numRef>
              <c:f>'Trim T'!$A$15</c:f>
              <c:numCache>
                <c:formatCode>General</c:formatCode>
                <c:ptCount val="1"/>
                <c:pt idx="0">
                  <c:v>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4A8-4534-A01C-9E7D2B433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512384"/>
        <c:axId val="133243264"/>
      </c:scatterChart>
      <c:catAx>
        <c:axId val="13251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3243264"/>
        <c:crosses val="autoZero"/>
        <c:auto val="1"/>
        <c:lblAlgn val="ctr"/>
        <c:lblOffset val="100"/>
        <c:noMultiLvlLbl val="0"/>
      </c:catAx>
      <c:valAx>
        <c:axId val="1332432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2512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QQ Plot - New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'Trim T'!$AO$11:$AO$21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xVal>
          <c:yVal>
            <c:numRef>
              <c:f>'Trim T'!$AP$11:$AP$21</c:f>
              <c:numCache>
                <c:formatCode>General</c:formatCode>
                <c:ptCount val="11"/>
                <c:pt idx="0">
                  <c:v>-1.6906216295848977</c:v>
                </c:pt>
                <c:pt idx="1">
                  <c:v>-1.096803562093513</c:v>
                </c:pt>
                <c:pt idx="2">
                  <c:v>-0.74785859476330196</c:v>
                </c:pt>
                <c:pt idx="3">
                  <c:v>-0.47278912099226744</c:v>
                </c:pt>
                <c:pt idx="4">
                  <c:v>-0.22988411757923208</c:v>
                </c:pt>
                <c:pt idx="5">
                  <c:v>0</c:v>
                </c:pt>
                <c:pt idx="6">
                  <c:v>0.22988411757923222</c:v>
                </c:pt>
                <c:pt idx="7">
                  <c:v>0.47278912099226728</c:v>
                </c:pt>
                <c:pt idx="8">
                  <c:v>0.74785859476330196</c:v>
                </c:pt>
                <c:pt idx="9">
                  <c:v>1.096803562093513</c:v>
                </c:pt>
                <c:pt idx="10">
                  <c:v>1.6906216295848984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CCA-460E-A012-B1FEB175C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292800"/>
        <c:axId val="133294720"/>
      </c:scatterChart>
      <c:valAx>
        <c:axId val="133292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3294720"/>
        <c:crosses val="autoZero"/>
        <c:crossBetween val="midCat"/>
      </c:valAx>
      <c:valAx>
        <c:axId val="1332947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Std Normal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32928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QQ Plot - Old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'Trim T'!$AT$11:$AT$20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'Trim T'!$AU$11:$AU$20</c:f>
              <c:numCache>
                <c:formatCode>General</c:formatCode>
                <c:ptCount val="10"/>
                <c:pt idx="0">
                  <c:v>-1.6448536269514726</c:v>
                </c:pt>
                <c:pt idx="1">
                  <c:v>-1.0364333894937898</c:v>
                </c:pt>
                <c:pt idx="2">
                  <c:v>-0.67448975019608193</c:v>
                </c:pt>
                <c:pt idx="3">
                  <c:v>-0.38532046640756784</c:v>
                </c:pt>
                <c:pt idx="4">
                  <c:v>-0.12566134685507402</c:v>
                </c:pt>
                <c:pt idx="5">
                  <c:v>0.12566134685507416</c:v>
                </c:pt>
                <c:pt idx="6">
                  <c:v>0.38532046640756784</c:v>
                </c:pt>
                <c:pt idx="7">
                  <c:v>0.67448975019608193</c:v>
                </c:pt>
                <c:pt idx="8">
                  <c:v>1.0364333894937898</c:v>
                </c:pt>
                <c:pt idx="9">
                  <c:v>1.6448536269514715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7C-4AA8-BE74-B4C9B0B2E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06720"/>
        <c:axId val="133408640"/>
      </c:scatterChart>
      <c:valAx>
        <c:axId val="133406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3408640"/>
        <c:crosses val="autoZero"/>
        <c:crossBetween val="midCat"/>
      </c:valAx>
      <c:valAx>
        <c:axId val="1334086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Std Normal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34067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1419225</xdr:colOff>
      <xdr:row>21</xdr:row>
      <xdr:rowOff>33337</xdr:rowOff>
    </xdr:from>
    <xdr:to>
      <xdr:col>18</xdr:col>
      <xdr:colOff>47625</xdr:colOff>
      <xdr:row>35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F7829A-994B-4372-8AC7-4A94C019B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485775</xdr:colOff>
      <xdr:row>20</xdr:row>
      <xdr:rowOff>185737</xdr:rowOff>
    </xdr:from>
    <xdr:to>
      <xdr:col>26</xdr:col>
      <xdr:colOff>152400</xdr:colOff>
      <xdr:row>35</xdr:row>
      <xdr:rowOff>71437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893163C-6D8D-415D-91D1-3E5D6D813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28575</xdr:colOff>
      <xdr:row>21</xdr:row>
      <xdr:rowOff>33337</xdr:rowOff>
    </xdr:from>
    <xdr:to>
      <xdr:col>10</xdr:col>
      <xdr:colOff>790575</xdr:colOff>
      <xdr:row>35</xdr:row>
      <xdr:rowOff>109537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6B70251-37F6-4CA6-A0B9-6BFFC328F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Distributions%2026%20April%202022.xlsx" TargetMode="External"/><Relationship Id="rId1" Type="http://schemas.openxmlformats.org/officeDocument/2006/relationships/externalLinkPath" Target="/38f5cd2f1f925cfd/Documenti/A%20Real%20Statistics%202020/Examples/Real%20Statistics%20Examples%20Distributions%2026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 "/>
      <sheetName val="Normal 1"/>
      <sheetName val="Normal 2"/>
      <sheetName val="Log-Norm 1"/>
      <sheetName val="Log-Norm 2"/>
      <sheetName val="1 Sample Z 1"/>
      <sheetName val="1 Sample Z 2"/>
      <sheetName val="2 Sample Z"/>
      <sheetName val="Uniform Sample"/>
      <sheetName val="Poisson Sample"/>
      <sheetName val="Simulation 1"/>
      <sheetName val="Simulation 2"/>
      <sheetName val="Random"/>
      <sheetName val="MSSD"/>
      <sheetName val="Sampling 1"/>
      <sheetName val="Sampling 2"/>
      <sheetName val="Norm Power 1"/>
      <sheetName val="Norm Power 2"/>
      <sheetName val="Norm Power 3"/>
      <sheetName val="Norm Power 4"/>
      <sheetName val="Norm Power 5"/>
      <sheetName val="Outlier"/>
      <sheetName val="Outlier 1"/>
      <sheetName val="Binomial 1"/>
      <sheetName val="Binomial 2"/>
      <sheetName val="Binomial 3"/>
      <sheetName val="Binomial 4"/>
      <sheetName val="Prop"/>
      <sheetName val="Prop 2"/>
      <sheetName val="Prop 3"/>
      <sheetName val="Prop 4"/>
      <sheetName val="NegBinom"/>
      <sheetName val="Hypgeom"/>
      <sheetName val="Beta"/>
      <sheetName val="Multinom"/>
      <sheetName val="Poisson 1"/>
      <sheetName val="Poisson 2"/>
      <sheetName val="Poisson 3"/>
      <sheetName val="Skellam"/>
      <sheetName val="Runs"/>
      <sheetName val="Bin Power 1"/>
      <sheetName val="Bin Power 2"/>
      <sheetName val="Bin Power 3"/>
      <sheetName val="Gamma"/>
      <sheetName val="Expon"/>
      <sheetName val="Expon 1"/>
      <sheetName val="Uniform"/>
      <sheetName val="Order"/>
      <sheetName val="Range"/>
      <sheetName val="CI Median"/>
      <sheetName val="Weibull A"/>
      <sheetName val="Weibull B"/>
      <sheetName val="Weibull"/>
      <sheetName val="Weibull 1"/>
      <sheetName val="Weibull 2"/>
      <sheetName val="Weibull 3"/>
      <sheetName val="Gumbel"/>
      <sheetName val="Logistic"/>
      <sheetName val="Laplace"/>
      <sheetName val="Pareto"/>
      <sheetName val="Fit Exp"/>
      <sheetName val="Fit Weibull"/>
      <sheetName val="Fit Wei"/>
      <sheetName val="Fit Beta"/>
      <sheetName val="Fit Uniform"/>
      <sheetName val="Fit Gumbel"/>
      <sheetName val="Fit Logistic"/>
      <sheetName val="Fit Pareto"/>
      <sheetName val="Fit Pareto 1"/>
      <sheetName val="Fit GEV"/>
      <sheetName val="MLE Wei"/>
      <sheetName val="MLE Wei 1"/>
      <sheetName val="MLE Wei 2"/>
      <sheetName val="MLE Wei 3"/>
      <sheetName val="MLE Wei 4"/>
      <sheetName val="MLE Gamma"/>
      <sheetName val="MLE Beta"/>
      <sheetName val="MLE Uniform"/>
      <sheetName val="MLE Gumbel"/>
      <sheetName val="MLE Logistic"/>
      <sheetName val="MLE Pareto"/>
      <sheetName val="MLE Lognorm"/>
      <sheetName val="MLE GEV 0"/>
      <sheetName val="MLE GEV 1"/>
      <sheetName val="MLE GEV"/>
      <sheetName val="Reg Wei"/>
      <sheetName val="Gumbel SE"/>
      <sheetName val="Gumbel CI"/>
      <sheetName val="Kernel"/>
      <sheetName val="Kernel 1a"/>
      <sheetName val="Kernel 1b"/>
      <sheetName val="Kernel 1c"/>
      <sheetName val="Kernel 2"/>
      <sheetName val="T Dist"/>
      <sheetName val="T Dist 2"/>
      <sheetName val="T1 Test"/>
      <sheetName val="1 Sample T 1"/>
      <sheetName val="1 Sample T 2"/>
      <sheetName val="1 Sample T 2a"/>
      <sheetName val="1 Sample T 3"/>
      <sheetName val="T Power 1"/>
      <sheetName val="T Power 2"/>
      <sheetName val="T Power 3"/>
      <sheetName val="T Power 4"/>
      <sheetName val="T Power 5"/>
      <sheetName val="T Power 6"/>
      <sheetName val="2 Sample T 1"/>
      <sheetName val="2 Sample T 2"/>
      <sheetName val="2 Sample T 3"/>
      <sheetName val="2 Sample T 4"/>
      <sheetName val="2 Sample T 5"/>
      <sheetName val="2P Sample T 1"/>
      <sheetName val="2P Sample T1a"/>
      <sheetName val="2P Sample T 2"/>
      <sheetName val="2P Sample T 3"/>
      <sheetName val="2P Sample T 3a"/>
      <sheetName val="Trim T"/>
      <sheetName val="Yuen"/>
      <sheetName val="NT 1"/>
      <sheetName val="NT 2"/>
      <sheetName val="Multiple t 1"/>
      <sheetName val="Multiple t 2"/>
      <sheetName val="Multiple t 3"/>
      <sheetName val="COV 1"/>
      <sheetName val="COV 2"/>
      <sheetName val="CV Conf"/>
      <sheetName val="Grubbs"/>
      <sheetName val="ESD"/>
      <sheetName val="TOST"/>
      <sheetName val="Chi-Sq"/>
      <sheetName val="Chi-Sq 0"/>
      <sheetName val="Shape"/>
      <sheetName val="1 Sample Var"/>
      <sheetName val="Good Fit 0"/>
      <sheetName val="Good Fit 1"/>
      <sheetName val="Good Fit 2"/>
      <sheetName val="Good Fit 3"/>
      <sheetName val="Dispers"/>
      <sheetName val="Chi-Sq 1"/>
      <sheetName val="Chi-Sq 2"/>
      <sheetName val="Chi-Sq 3"/>
      <sheetName val="Chi-Sq 4"/>
      <sheetName val="Chi-Sq 5"/>
      <sheetName val="Post-hoc 1"/>
      <sheetName val="Post-hoc 1a"/>
      <sheetName val="Post-hoc 1b"/>
      <sheetName val="Post-hoc 2"/>
      <sheetName val="Std Res"/>
      <sheetName val="Adj Res"/>
      <sheetName val="Fisher"/>
      <sheetName val="Fisher 2"/>
      <sheetName val="Sim 1"/>
      <sheetName val="Sim 2"/>
      <sheetName val="CA"/>
      <sheetName val="CMH"/>
      <sheetName val="CMH 1"/>
      <sheetName val="CMH 2"/>
      <sheetName val="Tol"/>
      <sheetName val="F Dist"/>
      <sheetName val="F Test"/>
      <sheetName val="CI Var Ratio"/>
      <sheetName val="NCHI 1"/>
      <sheetName val="NCHI 2"/>
      <sheetName val="NCHI 3"/>
      <sheetName val="Power Var2"/>
      <sheetName val="Power Var2a"/>
      <sheetName val="NF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>
        <row r="6">
          <cell r="AG6" t="str">
            <v>New</v>
          </cell>
          <cell r="AH6" t="str">
            <v>Old</v>
          </cell>
        </row>
        <row r="7">
          <cell r="AF7" t="str">
            <v>Min</v>
          </cell>
          <cell r="AG7">
            <v>2</v>
          </cell>
          <cell r="AH7">
            <v>0</v>
          </cell>
        </row>
        <row r="8">
          <cell r="AF8" t="str">
            <v>Q1-Min</v>
          </cell>
          <cell r="AG8">
            <v>4</v>
          </cell>
          <cell r="AH8">
            <v>8.5</v>
          </cell>
        </row>
        <row r="9">
          <cell r="AF9" t="str">
            <v>Med-Q1</v>
          </cell>
          <cell r="AG9">
            <v>3</v>
          </cell>
          <cell r="AH9">
            <v>8</v>
          </cell>
        </row>
        <row r="10">
          <cell r="AF10" t="str">
            <v>Q3-Med</v>
          </cell>
          <cell r="AG10">
            <v>10</v>
          </cell>
          <cell r="AH10">
            <v>10</v>
          </cell>
        </row>
        <row r="11">
          <cell r="AG11">
            <v>16</v>
          </cell>
          <cell r="AH11">
            <v>11.5</v>
          </cell>
          <cell r="AO11">
            <v>2</v>
          </cell>
          <cell r="AP11">
            <v>-1.6906216295848977</v>
          </cell>
          <cell r="AT11">
            <v>2</v>
          </cell>
          <cell r="AU11">
            <v>-1.6448536269514726</v>
          </cell>
        </row>
        <row r="12">
          <cell r="AG12">
            <v>14.272727272727273</v>
          </cell>
          <cell r="AH12">
            <v>17.899999999999999</v>
          </cell>
          <cell r="AO12">
            <v>4</v>
          </cell>
          <cell r="AP12">
            <v>-1.096803562093513</v>
          </cell>
          <cell r="AT12">
            <v>6</v>
          </cell>
          <cell r="AU12">
            <v>-1.0364333894937898</v>
          </cell>
        </row>
        <row r="13">
          <cell r="AO13">
            <v>5</v>
          </cell>
          <cell r="AP13">
            <v>-0.74785859476330196</v>
          </cell>
          <cell r="AT13">
            <v>8</v>
          </cell>
          <cell r="AU13">
            <v>-0.67448975019608193</v>
          </cell>
        </row>
        <row r="14">
          <cell r="AO14">
            <v>7</v>
          </cell>
          <cell r="AP14">
            <v>-0.47278912099226744</v>
          </cell>
          <cell r="AT14">
            <v>10</v>
          </cell>
          <cell r="AU14">
            <v>-0.38532046640756784</v>
          </cell>
        </row>
        <row r="15">
          <cell r="A15">
            <v>40</v>
          </cell>
          <cell r="AO15">
            <v>8</v>
          </cell>
          <cell r="AP15">
            <v>-0.22988411757923208</v>
          </cell>
          <cell r="AT15">
            <v>11</v>
          </cell>
          <cell r="AU15">
            <v>-0.12566134685507402</v>
          </cell>
        </row>
        <row r="16">
          <cell r="AO16">
            <v>9</v>
          </cell>
          <cell r="AP16">
            <v>0</v>
          </cell>
          <cell r="AT16">
            <v>22</v>
          </cell>
          <cell r="AU16">
            <v>0.12566134685507416</v>
          </cell>
        </row>
        <row r="17">
          <cell r="AO17">
            <v>9</v>
          </cell>
          <cell r="AP17">
            <v>0.22988411757923222</v>
          </cell>
          <cell r="AT17">
            <v>25</v>
          </cell>
          <cell r="AU17">
            <v>0.38532046640756784</v>
          </cell>
        </row>
        <row r="18">
          <cell r="AO18">
            <v>10</v>
          </cell>
          <cell r="AP18">
            <v>0.47278912099226728</v>
          </cell>
          <cell r="AT18">
            <v>27</v>
          </cell>
          <cell r="AU18">
            <v>0.67448975019608193</v>
          </cell>
        </row>
        <row r="19">
          <cell r="AO19">
            <v>28</v>
          </cell>
          <cell r="AP19">
            <v>0.74785859476330196</v>
          </cell>
          <cell r="AT19">
            <v>30</v>
          </cell>
          <cell r="AU19">
            <v>1.0364333894937898</v>
          </cell>
        </row>
        <row r="20">
          <cell r="AO20">
            <v>35</v>
          </cell>
          <cell r="AP20">
            <v>1.096803562093513</v>
          </cell>
          <cell r="AT20">
            <v>38</v>
          </cell>
          <cell r="AU20">
            <v>1.6448536269514715</v>
          </cell>
        </row>
        <row r="21">
          <cell r="AO21">
            <v>40</v>
          </cell>
          <cell r="AP21">
            <v>1.6906216295848984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351A-F404-400B-A52B-B4C80FC30C8A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93</v>
      </c>
    </row>
    <row r="2" spans="1:13" x14ac:dyDescent="0.35">
      <c r="A2" t="s">
        <v>96</v>
      </c>
    </row>
    <row r="4" spans="1:13" x14ac:dyDescent="0.35">
      <c r="A4" t="s">
        <v>94</v>
      </c>
      <c r="B4" s="30">
        <v>46026</v>
      </c>
    </row>
    <row r="6" spans="1:13" x14ac:dyDescent="0.35">
      <c r="A6" s="31" t="s">
        <v>95</v>
      </c>
    </row>
    <row r="10" spans="1:13" ht="18.5" x14ac:dyDescent="0.45">
      <c r="M10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FAA4A-279E-4108-8D97-BFA9B75010C8}">
  <sheetPr codeName="Sheet62"/>
  <dimension ref="A1:AV25"/>
  <sheetViews>
    <sheetView workbookViewId="0">
      <selection activeCell="K6" sqref="K6"/>
    </sheetView>
  </sheetViews>
  <sheetFormatPr defaultRowHeight="14.5" x14ac:dyDescent="0.35"/>
  <cols>
    <col min="1" max="2" width="6" customWidth="1"/>
    <col min="3" max="3" width="3.54296875" customWidth="1"/>
    <col min="4" max="5" width="6.1796875" customWidth="1"/>
    <col min="6" max="6" width="3.81640625" customWidth="1"/>
    <col min="7" max="7" width="10.453125" customWidth="1"/>
    <col min="10" max="10" width="2.7265625" customWidth="1"/>
    <col min="11" max="11" width="25.1796875" customWidth="1"/>
    <col min="22" max="22" width="9.1796875" customWidth="1"/>
    <col min="24" max="24" width="9.54296875" customWidth="1"/>
    <col min="39" max="39" width="9.1796875" customWidth="1"/>
  </cols>
  <sheetData>
    <row r="1" spans="1:48" x14ac:dyDescent="0.35">
      <c r="A1" s="1" t="s">
        <v>0</v>
      </c>
    </row>
    <row r="2" spans="1:48" x14ac:dyDescent="0.35">
      <c r="M2" t="s">
        <v>1</v>
      </c>
      <c r="X2" t="s">
        <v>2</v>
      </c>
    </row>
    <row r="3" spans="1:48" x14ac:dyDescent="0.35">
      <c r="A3" s="2" t="s">
        <v>3</v>
      </c>
      <c r="B3" s="2"/>
      <c r="D3" s="2" t="s">
        <v>4</v>
      </c>
      <c r="E3" s="2"/>
      <c r="H3" s="3" t="s">
        <v>5</v>
      </c>
      <c r="I3" s="3" t="s">
        <v>6</v>
      </c>
    </row>
    <row r="4" spans="1:48" ht="15" thickBot="1" x14ac:dyDescent="0.4">
      <c r="A4" s="3" t="s">
        <v>5</v>
      </c>
      <c r="B4" s="3" t="s">
        <v>6</v>
      </c>
      <c r="D4" s="3" t="s">
        <v>5</v>
      </c>
      <c r="E4" s="3" t="s">
        <v>6</v>
      </c>
      <c r="G4" t="s">
        <v>7</v>
      </c>
      <c r="H4">
        <f>COUNT(A5:A15)</f>
        <v>11</v>
      </c>
      <c r="I4">
        <f>COUNT(B5:B15)</f>
        <v>10</v>
      </c>
      <c r="K4" t="e">
        <f ca="1">FTEXT(H4)</f>
        <v>#NAME?</v>
      </c>
      <c r="M4" t="s">
        <v>8</v>
      </c>
      <c r="P4" t="s">
        <v>9</v>
      </c>
      <c r="Q4">
        <v>0</v>
      </c>
      <c r="Y4" t="str">
        <f>A4</f>
        <v>New</v>
      </c>
      <c r="Z4" t="str">
        <f>B4</f>
        <v>Old</v>
      </c>
      <c r="AB4" t="s">
        <v>10</v>
      </c>
      <c r="AF4" t="s">
        <v>11</v>
      </c>
      <c r="AJ4" t="s">
        <v>12</v>
      </c>
      <c r="AN4" t="s">
        <v>13</v>
      </c>
      <c r="AS4" t="s">
        <v>14</v>
      </c>
    </row>
    <row r="5" spans="1:48" ht="15" thickTop="1" x14ac:dyDescent="0.35">
      <c r="A5" s="4">
        <v>4</v>
      </c>
      <c r="B5" s="4">
        <v>2</v>
      </c>
      <c r="D5" s="4" t="e">
        <f t="array" aca="1" ref="D5:D15" ca="1">WINSORIZE(A5:A15,0.2)</f>
        <v>#NAME?</v>
      </c>
      <c r="E5" s="4" t="e">
        <f t="array" aca="1" ref="E5:E15" ca="1">WINSORIZE(B5:B15,0.2)</f>
        <v>#NAME?</v>
      </c>
      <c r="G5" t="s">
        <v>15</v>
      </c>
      <c r="H5">
        <f>AVERAGE(A5:A15)</f>
        <v>14.272727272727273</v>
      </c>
      <c r="I5">
        <f>AVERAGE(B5:B15)</f>
        <v>17.899999999999999</v>
      </c>
      <c r="K5" t="e">
        <f ca="1">FTEXT(H5)</f>
        <v>#NAME?</v>
      </c>
      <c r="M5" s="6" t="s">
        <v>16</v>
      </c>
      <c r="N5" s="6" t="s">
        <v>17</v>
      </c>
      <c r="O5" s="6" t="s">
        <v>18</v>
      </c>
      <c r="P5" s="6" t="s">
        <v>19</v>
      </c>
      <c r="Q5" s="6" t="s">
        <v>20</v>
      </c>
      <c r="X5" t="s">
        <v>7</v>
      </c>
      <c r="Y5" s="7">
        <f>COUNT(A5:A15)</f>
        <v>11</v>
      </c>
      <c r="Z5" s="8">
        <f>COUNT(B5:B15)</f>
        <v>10</v>
      </c>
    </row>
    <row r="6" spans="1:48" x14ac:dyDescent="0.35">
      <c r="A6" s="4">
        <v>10</v>
      </c>
      <c r="B6" s="4">
        <v>8</v>
      </c>
      <c r="D6" s="4" t="e">
        <f ca="1"/>
        <v>#NAME?</v>
      </c>
      <c r="E6" s="4" t="e">
        <f ca="1"/>
        <v>#NAME?</v>
      </c>
      <c r="G6" t="s">
        <v>21</v>
      </c>
      <c r="H6">
        <f>VAR(A5:A15)</f>
        <v>178.81818181818181</v>
      </c>
      <c r="I6">
        <f>VAR(B5:B15)</f>
        <v>144.76666666666668</v>
      </c>
      <c r="K6" s="9" t="s">
        <v>22</v>
      </c>
      <c r="M6" t="str">
        <f>A4</f>
        <v>New</v>
      </c>
      <c r="N6">
        <f>COUNT(A5:A15)</f>
        <v>11</v>
      </c>
      <c r="O6">
        <f>AVERAGE(A5:A15)</f>
        <v>14.272727272727273</v>
      </c>
      <c r="P6">
        <f>VAR(A5:A15)</f>
        <v>178.81818181818181</v>
      </c>
      <c r="X6" t="s">
        <v>23</v>
      </c>
      <c r="Y6" s="10">
        <f>MEDIAN(A5:A15)</f>
        <v>9</v>
      </c>
      <c r="Z6" s="11">
        <f>MEDIAN(B5:B15)</f>
        <v>16.5</v>
      </c>
      <c r="AB6" s="12"/>
      <c r="AC6" s="12" t="str">
        <f>A4</f>
        <v>New</v>
      </c>
      <c r="AD6" s="12" t="str">
        <f>B4</f>
        <v>Old</v>
      </c>
      <c r="AG6" s="13" t="str">
        <f>A4</f>
        <v>New</v>
      </c>
      <c r="AH6" s="13" t="str">
        <f>B4</f>
        <v>Old</v>
      </c>
      <c r="AJ6" s="12"/>
      <c r="AK6" s="12" t="str">
        <f>A4</f>
        <v>New</v>
      </c>
      <c r="AL6" s="12" t="str">
        <f>B4</f>
        <v>Old</v>
      </c>
      <c r="AN6" t="s">
        <v>17</v>
      </c>
      <c r="AO6">
        <f>COUNT(A5:A15)</f>
        <v>11</v>
      </c>
      <c r="AP6">
        <f>2*AO6</f>
        <v>22</v>
      </c>
      <c r="AS6" t="s">
        <v>17</v>
      </c>
      <c r="AT6">
        <f>COUNT(B5:B15)</f>
        <v>10</v>
      </c>
      <c r="AU6">
        <f>2*AT6</f>
        <v>20</v>
      </c>
    </row>
    <row r="7" spans="1:48" x14ac:dyDescent="0.35">
      <c r="A7" s="4">
        <v>2</v>
      </c>
      <c r="B7" s="4">
        <v>6</v>
      </c>
      <c r="D7" s="4" t="e">
        <f ca="1"/>
        <v>#NAME?</v>
      </c>
      <c r="E7" s="4" t="e">
        <f ca="1"/>
        <v>#NAME?</v>
      </c>
      <c r="G7" t="s">
        <v>24</v>
      </c>
      <c r="H7">
        <f>H4-INT(0.1*H4)*2</f>
        <v>9</v>
      </c>
      <c r="I7">
        <f>I4-INT(0.1*I4)*2</f>
        <v>8</v>
      </c>
      <c r="K7" t="e">
        <f ca="1">FTEXT(H7)</f>
        <v>#NAME?</v>
      </c>
      <c r="M7" t="str">
        <f>B4</f>
        <v>Old</v>
      </c>
      <c r="N7">
        <f>COUNT(B5:B15)</f>
        <v>10</v>
      </c>
      <c r="O7">
        <f>AVERAGE(B5:B15)</f>
        <v>17.899999999999999</v>
      </c>
      <c r="P7">
        <f>VAR(B5:B15)</f>
        <v>144.76666666666668</v>
      </c>
      <c r="X7" t="s">
        <v>25</v>
      </c>
      <c r="Y7" s="10" t="e">
        <f ca="1">RANK_SUM(A5:A15,B5:B15,1)</f>
        <v>#NAME?</v>
      </c>
      <c r="Z7" s="11" t="e">
        <f ca="1">RANK_SUM(B5:B15,A5:A15,1)</f>
        <v>#NAME?</v>
      </c>
      <c r="AB7" t="s">
        <v>18</v>
      </c>
      <c r="AC7">
        <f>AVERAGE(A5:A15)</f>
        <v>14.272727272727273</v>
      </c>
      <c r="AD7">
        <f>AVERAGE(B5:B15)</f>
        <v>17.899999999999999</v>
      </c>
      <c r="AF7" t="s">
        <v>26</v>
      </c>
      <c r="AG7" s="7">
        <f>AG14-$AG21</f>
        <v>2</v>
      </c>
      <c r="AH7" s="8">
        <f>AH14-$AG21</f>
        <v>0</v>
      </c>
      <c r="AJ7" t="s">
        <v>27</v>
      </c>
      <c r="AK7" t="e">
        <f ca="1">SHAPIRO(A5:A15)</f>
        <v>#NAME?</v>
      </c>
      <c r="AL7" t="e">
        <f ca="1">SHAPIRO(B5:B15)</f>
        <v>#NAME?</v>
      </c>
      <c r="AN7" t="s">
        <v>18</v>
      </c>
      <c r="AO7">
        <f>AVERAGE(A5:A15)</f>
        <v>14.272727272727273</v>
      </c>
      <c r="AS7" t="s">
        <v>18</v>
      </c>
      <c r="AT7">
        <f>AVERAGE(B5:B15)</f>
        <v>17.899999999999999</v>
      </c>
    </row>
    <row r="8" spans="1:48" x14ac:dyDescent="0.35">
      <c r="A8" s="4">
        <v>9</v>
      </c>
      <c r="B8" s="4">
        <v>22</v>
      </c>
      <c r="D8" s="4" t="e">
        <f ca="1"/>
        <v>#NAME?</v>
      </c>
      <c r="E8" s="4" t="e">
        <f ca="1"/>
        <v>#NAME?</v>
      </c>
      <c r="G8" t="s">
        <v>28</v>
      </c>
      <c r="H8">
        <f>TRIMMEAN(A5:A15,0.2)</f>
        <v>12.777777777777779</v>
      </c>
      <c r="I8">
        <f>TRIMMEAN(B5:B15,0.2)</f>
        <v>17.375</v>
      </c>
      <c r="K8" t="e">
        <f ca="1">FTEXT(H8)</f>
        <v>#NAME?</v>
      </c>
      <c r="M8" s="14" t="s">
        <v>29</v>
      </c>
      <c r="N8" s="14"/>
      <c r="O8" s="14"/>
      <c r="P8" s="14">
        <f>((N6-1)*P6+(N7-1)*P7)/(N6+N7-2)</f>
        <v>162.68851674641147</v>
      </c>
      <c r="Q8" s="14">
        <f>ABS(O6-O7-Q4)/SQRT(P8)</f>
        <v>0.28438177507672674</v>
      </c>
      <c r="X8" t="s">
        <v>30</v>
      </c>
      <c r="Y8" s="15" t="e">
        <f ca="1">Y5*Z5+Y5*(Y5+1)/2-Y7</f>
        <v>#NAME?</v>
      </c>
      <c r="Z8" s="16" t="e">
        <f ca="1">Y5*Z5+Z5*(Z5+1)/2-Z7</f>
        <v>#NAME?</v>
      </c>
      <c r="AB8" t="s">
        <v>31</v>
      </c>
      <c r="AC8">
        <f>STDEV(A5:A15)/SQRT(COUNT(A5:A15))</f>
        <v>4.0318976111884881</v>
      </c>
      <c r="AD8">
        <f>STDEV(B5:B15)/SQRT(COUNT(B5:B15))</f>
        <v>3.8048215026025423</v>
      </c>
      <c r="AF8" t="s">
        <v>32</v>
      </c>
      <c r="AG8" s="10">
        <f>AG15-AG14</f>
        <v>4</v>
      </c>
      <c r="AH8" s="11">
        <f>AH15-AH14</f>
        <v>8.5</v>
      </c>
      <c r="AJ8" t="s">
        <v>33</v>
      </c>
      <c r="AK8" t="e">
        <f ca="1">SWTEST(A5:A15)</f>
        <v>#NAME?</v>
      </c>
      <c r="AL8" t="e">
        <f ca="1">SWTEST(B5:B15)</f>
        <v>#NAME?</v>
      </c>
      <c r="AN8" t="s">
        <v>34</v>
      </c>
      <c r="AO8">
        <f>STDEV(A5:A15)</f>
        <v>13.372291569442456</v>
      </c>
      <c r="AS8" t="s">
        <v>34</v>
      </c>
      <c r="AT8">
        <f>STDEV(B5:B15)</f>
        <v>12.031902038608305</v>
      </c>
    </row>
    <row r="9" spans="1:48" x14ac:dyDescent="0.35">
      <c r="A9" s="4">
        <v>5</v>
      </c>
      <c r="B9" s="4">
        <v>11</v>
      </c>
      <c r="D9" s="4" t="e">
        <f ca="1"/>
        <v>#NAME?</v>
      </c>
      <c r="E9" s="4" t="e">
        <f ca="1"/>
        <v>#NAME?</v>
      </c>
      <c r="G9" t="s">
        <v>35</v>
      </c>
      <c r="H9" s="17" t="e">
        <f ca="1">VAR(D5:D15)</f>
        <v>#NAME?</v>
      </c>
      <c r="I9" s="17" t="e">
        <f ca="1">VAR(E5:E15)</f>
        <v>#NAME?</v>
      </c>
      <c r="K9" s="9" t="s">
        <v>36</v>
      </c>
      <c r="AB9" t="s">
        <v>37</v>
      </c>
      <c r="AC9">
        <f>MEDIAN(A5:A15)</f>
        <v>9</v>
      </c>
      <c r="AD9">
        <f>MEDIAN(B5:B15)</f>
        <v>16.5</v>
      </c>
      <c r="AF9" t="s">
        <v>38</v>
      </c>
      <c r="AG9" s="10">
        <f t="shared" ref="AG9:AH11" si="0">AG16-AG15</f>
        <v>3</v>
      </c>
      <c r="AH9" s="11">
        <f t="shared" si="0"/>
        <v>8</v>
      </c>
      <c r="AJ9" t="s">
        <v>39</v>
      </c>
      <c r="AK9">
        <v>0.05</v>
      </c>
      <c r="AL9">
        <v>0.05</v>
      </c>
    </row>
    <row r="10" spans="1:48" ht="15" thickBot="1" x14ac:dyDescent="0.4">
      <c r="A10" s="4">
        <v>28</v>
      </c>
      <c r="B10" s="4">
        <v>27</v>
      </c>
      <c r="D10" s="4" t="e">
        <f ca="1"/>
        <v>#NAME?</v>
      </c>
      <c r="E10" s="4" t="e">
        <f ca="1"/>
        <v>#NAME?</v>
      </c>
      <c r="M10" t="s">
        <v>40</v>
      </c>
      <c r="Q10" t="s">
        <v>41</v>
      </c>
      <c r="R10">
        <v>0.05</v>
      </c>
      <c r="Y10" s="18" t="s">
        <v>42</v>
      </c>
      <c r="Z10" s="18" t="s">
        <v>43</v>
      </c>
      <c r="AB10" t="s">
        <v>44</v>
      </c>
      <c r="AC10">
        <f>MODE(A5:A15)</f>
        <v>9</v>
      </c>
      <c r="AD10" t="e">
        <f>MODE(B5:B15)</f>
        <v>#N/A</v>
      </c>
      <c r="AF10" t="s">
        <v>45</v>
      </c>
      <c r="AG10" s="10">
        <f t="shared" si="0"/>
        <v>10</v>
      </c>
      <c r="AH10" s="11">
        <f t="shared" si="0"/>
        <v>10</v>
      </c>
      <c r="AJ10" s="17" t="s">
        <v>46</v>
      </c>
      <c r="AK10" s="19" t="e">
        <f ca="1">IF(AK8&lt;AK9,"no","yes")</f>
        <v>#NAME?</v>
      </c>
      <c r="AL10" s="19" t="e">
        <f ca="1">IF(AL8&lt;AL9,"no","yes")</f>
        <v>#NAME?</v>
      </c>
      <c r="AN10" t="s">
        <v>47</v>
      </c>
      <c r="AO10" t="s">
        <v>3</v>
      </c>
      <c r="AP10" t="s">
        <v>48</v>
      </c>
      <c r="AQ10" t="s">
        <v>49</v>
      </c>
      <c r="AS10" t="s">
        <v>47</v>
      </c>
      <c r="AT10" t="s">
        <v>3</v>
      </c>
      <c r="AU10" t="s">
        <v>48</v>
      </c>
      <c r="AV10" t="s">
        <v>49</v>
      </c>
    </row>
    <row r="11" spans="1:48" ht="15" thickTop="1" x14ac:dyDescent="0.35">
      <c r="A11" s="4">
        <v>8</v>
      </c>
      <c r="B11" s="4">
        <v>10</v>
      </c>
      <c r="D11" s="4" t="e">
        <f ca="1"/>
        <v>#NAME?</v>
      </c>
      <c r="E11" s="4" t="e">
        <f ca="1"/>
        <v>#NAME?</v>
      </c>
      <c r="G11" t="s">
        <v>50</v>
      </c>
      <c r="H11" s="20" t="e">
        <f ca="1">((H4-1)*H9+(I4-1)*I9)/H15</f>
        <v>#NAME?</v>
      </c>
      <c r="K11" t="e">
        <f ca="1">FTEXT(H11)</f>
        <v>#NAME?</v>
      </c>
      <c r="M11" s="6" t="s">
        <v>51</v>
      </c>
      <c r="N11" s="6" t="s">
        <v>52</v>
      </c>
      <c r="O11" s="6" t="s">
        <v>53</v>
      </c>
      <c r="P11" s="6" t="s">
        <v>54</v>
      </c>
      <c r="Q11" s="6" t="s">
        <v>33</v>
      </c>
      <c r="R11" s="6" t="s">
        <v>55</v>
      </c>
      <c r="S11" s="6" t="s">
        <v>56</v>
      </c>
      <c r="T11" s="6" t="s">
        <v>57</v>
      </c>
      <c r="U11" s="6" t="s">
        <v>58</v>
      </c>
      <c r="V11" s="6" t="s">
        <v>59</v>
      </c>
      <c r="X11" t="s">
        <v>39</v>
      </c>
      <c r="Y11" s="21">
        <v>0.05</v>
      </c>
      <c r="AB11" t="s">
        <v>60</v>
      </c>
      <c r="AC11">
        <f>STDEV(A5:A15)</f>
        <v>13.372291569442456</v>
      </c>
      <c r="AD11">
        <f>STDEV(B5:B15)</f>
        <v>12.031902038608305</v>
      </c>
      <c r="AF11" t="s">
        <v>61</v>
      </c>
      <c r="AG11" s="10">
        <f t="shared" si="0"/>
        <v>16</v>
      </c>
      <c r="AH11" s="11">
        <f t="shared" si="0"/>
        <v>11.5</v>
      </c>
      <c r="AN11">
        <v>1</v>
      </c>
      <c r="AO11" t="e">
        <f t="array" aca="1" ref="AO11:AO21" ca="1">QSORT(A5:A15)</f>
        <v>#NAME?</v>
      </c>
      <c r="AP11">
        <f>NORMSINV(AN11/AP$6)</f>
        <v>-1.6906216295848977</v>
      </c>
      <c r="AQ11" t="e">
        <f ca="1">STANDARDIZE(AO11,AO$7,AO$8)</f>
        <v>#NAME?</v>
      </c>
      <c r="AS11">
        <v>1</v>
      </c>
      <c r="AT11" t="e">
        <f t="array" aca="1" ref="AT11:AT20" ca="1">QSORT(B5:B15)</f>
        <v>#NAME?</v>
      </c>
      <c r="AU11">
        <f>NORMSINV(AS11/AU$6)</f>
        <v>-1.6448536269514726</v>
      </c>
      <c r="AV11" t="e">
        <f ca="1">STANDARDIZE(AT11,AT$7,AT$8)</f>
        <v>#NAME?</v>
      </c>
    </row>
    <row r="12" spans="1:48" x14ac:dyDescent="0.35">
      <c r="A12" s="4">
        <v>7</v>
      </c>
      <c r="B12" s="4">
        <v>25</v>
      </c>
      <c r="D12" s="4" t="e">
        <f ca="1"/>
        <v>#NAME?</v>
      </c>
      <c r="E12" s="4" t="e">
        <f ca="1"/>
        <v>#NAME?</v>
      </c>
      <c r="G12" t="s">
        <v>62</v>
      </c>
      <c r="H12" s="22">
        <f>I8-H8</f>
        <v>4.5972222222222214</v>
      </c>
      <c r="K12" t="e">
        <f ca="1">FTEXT(H12)</f>
        <v>#NAME?</v>
      </c>
      <c r="M12" t="s">
        <v>63</v>
      </c>
      <c r="N12">
        <f>SQRT(P8*(1/N6+1/N7))</f>
        <v>5.5730347956392512</v>
      </c>
      <c r="O12">
        <f>(ABS(O6-O7-Q4))/N12</f>
        <v>0.65086130991160651</v>
      </c>
      <c r="P12">
        <f>N6+N7-2</f>
        <v>19</v>
      </c>
      <c r="Q12">
        <f>TDIST(O12,P12,1)</f>
        <v>0.26146504106631041</v>
      </c>
      <c r="R12">
        <f>TINV(R10*2,P12)</f>
        <v>1.7291328115213698</v>
      </c>
      <c r="U12" s="4" t="str">
        <f>IF(Q12&lt;R10,"yes","no")</f>
        <v>no</v>
      </c>
      <c r="V12">
        <f>SQRT(O12^2/(O12^2+P12))</f>
        <v>0.14768057153290462</v>
      </c>
      <c r="X12" t="s">
        <v>30</v>
      </c>
      <c r="Y12" s="23" t="e">
        <f ca="1">MIN(Y8,Z8)</f>
        <v>#NAME?</v>
      </c>
      <c r="AB12" t="s">
        <v>64</v>
      </c>
      <c r="AC12">
        <f>VAR(A5:A15)</f>
        <v>178.81818181818181</v>
      </c>
      <c r="AD12">
        <f>VAR(B5:B15)</f>
        <v>144.76666666666668</v>
      </c>
      <c r="AF12" t="s">
        <v>18</v>
      </c>
      <c r="AG12" s="15">
        <f>AG19-$AG21</f>
        <v>14.272727272727273</v>
      </c>
      <c r="AH12" s="16">
        <f>AH19-$AG21</f>
        <v>17.899999999999999</v>
      </c>
      <c r="AJ12" t="s">
        <v>65</v>
      </c>
      <c r="AN12">
        <f>AN11+2</f>
        <v>3</v>
      </c>
      <c r="AO12" t="e">
        <f ca="1"/>
        <v>#NAME?</v>
      </c>
      <c r="AP12">
        <f t="shared" ref="AP12:AP21" si="1">NORMSINV(AN12/AP$6)</f>
        <v>-1.096803562093513</v>
      </c>
      <c r="AQ12" t="e">
        <f t="shared" ref="AQ12:AQ21" ca="1" si="2">STANDARDIZE(AO12,AO$7,AO$8)</f>
        <v>#NAME?</v>
      </c>
      <c r="AS12">
        <f>AS11+2</f>
        <v>3</v>
      </c>
      <c r="AT12" t="e">
        <f ca="1"/>
        <v>#NAME?</v>
      </c>
      <c r="AU12">
        <f t="shared" ref="AU12:AU20" si="3">NORMSINV(AS12/AU$6)</f>
        <v>-1.0364333894937898</v>
      </c>
      <c r="AV12" t="e">
        <f t="shared" ref="AV12:AV20" ca="1" si="4">STANDARDIZE(AT12,AT$7,AT$8)</f>
        <v>#NAME?</v>
      </c>
    </row>
    <row r="13" spans="1:48" x14ac:dyDescent="0.35">
      <c r="A13" s="4">
        <v>9</v>
      </c>
      <c r="B13" s="4">
        <v>30</v>
      </c>
      <c r="D13" s="4" t="e">
        <f ca="1"/>
        <v>#NAME?</v>
      </c>
      <c r="E13" s="4" t="e">
        <f ca="1"/>
        <v>#NAME?</v>
      </c>
      <c r="G13" t="s">
        <v>66</v>
      </c>
      <c r="H13" s="22" t="e">
        <f ca="1">SQRT((1/H7+1/I7)*H11)</f>
        <v>#NAME?</v>
      </c>
      <c r="K13" t="e">
        <f ca="1">FTEXT(H13)</f>
        <v>#NAME?</v>
      </c>
      <c r="M13" t="s">
        <v>67</v>
      </c>
      <c r="N13">
        <f>N12</f>
        <v>5.5730347956392512</v>
      </c>
      <c r="O13">
        <f>O12</f>
        <v>0.65086130991160651</v>
      </c>
      <c r="P13">
        <f>P12</f>
        <v>19</v>
      </c>
      <c r="Q13">
        <f>TDIST(O13,P13,2)</f>
        <v>0.52293008213262082</v>
      </c>
      <c r="R13">
        <f>TINV(R10,P13)</f>
        <v>2.0930240544083096</v>
      </c>
      <c r="S13">
        <f>(O6-O7)-R13*N13</f>
        <v>-15.291768610600176</v>
      </c>
      <c r="T13">
        <f>(O6-O7)+R13*N13</f>
        <v>8.0372231560547256</v>
      </c>
      <c r="U13" s="4" t="str">
        <f>IF(Q13&lt;R10,"yes","no")</f>
        <v>no</v>
      </c>
      <c r="V13">
        <f>V12</f>
        <v>0.14768057153290462</v>
      </c>
      <c r="X13" t="s">
        <v>15</v>
      </c>
      <c r="Y13" s="23">
        <f>Y5*Z5/2</f>
        <v>55</v>
      </c>
      <c r="AB13" t="s">
        <v>68</v>
      </c>
      <c r="AC13">
        <f>KURT(A5:A15)</f>
        <v>-0.12098375957061958</v>
      </c>
      <c r="AD13">
        <f>KURT(B5:B15)</f>
        <v>-1.2767344542811241</v>
      </c>
      <c r="AN13">
        <f t="shared" ref="AN13:AN21" si="5">AN12+2</f>
        <v>5</v>
      </c>
      <c r="AO13" t="e">
        <f ca="1"/>
        <v>#NAME?</v>
      </c>
      <c r="AP13">
        <f t="shared" si="1"/>
        <v>-0.74785859476330196</v>
      </c>
      <c r="AQ13" t="e">
        <f t="shared" ca="1" si="2"/>
        <v>#NAME?</v>
      </c>
      <c r="AS13">
        <f t="shared" ref="AS13:AS20" si="6">AS12+2</f>
        <v>5</v>
      </c>
      <c r="AT13" t="e">
        <f ca="1"/>
        <v>#NAME?</v>
      </c>
      <c r="AU13">
        <f t="shared" si="3"/>
        <v>-0.67448975019608193</v>
      </c>
      <c r="AV13" t="e">
        <f t="shared" ca="1" si="4"/>
        <v>#NAME?</v>
      </c>
    </row>
    <row r="14" spans="1:48" x14ac:dyDescent="0.35">
      <c r="A14" s="4">
        <v>35</v>
      </c>
      <c r="B14" s="4">
        <v>38</v>
      </c>
      <c r="D14" s="4" t="e">
        <f ca="1"/>
        <v>#NAME?</v>
      </c>
      <c r="E14" s="4" t="e">
        <f ca="1"/>
        <v>#NAME?</v>
      </c>
      <c r="G14" t="s">
        <v>53</v>
      </c>
      <c r="H14" s="22" t="e">
        <f ca="1">H12/H13</f>
        <v>#NAME?</v>
      </c>
      <c r="K14" t="e">
        <f ca="1">FTEXT(H14)</f>
        <v>#NAME?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X14" t="s">
        <v>69</v>
      </c>
      <c r="Y14" s="23" t="e">
        <f ca="1">SQRT(Y13*(Y5+Z5+1)/6*(1-TiesCorrection(A5:A15,B5:B15,2)/((Y5+Z5)^3-Y5-Z5)))</f>
        <v>#NAME?</v>
      </c>
      <c r="Z14" t="s">
        <v>70</v>
      </c>
      <c r="AB14" t="s">
        <v>71</v>
      </c>
      <c r="AC14">
        <f>SKEW(A5:A15)</f>
        <v>1.2158652977210749</v>
      </c>
      <c r="AD14">
        <f>SKEW(B5:B15)</f>
        <v>0.28513306194635185</v>
      </c>
      <c r="AF14" t="s">
        <v>26</v>
      </c>
      <c r="AG14" s="7">
        <f t="array" ref="AG14">MIN(IF(A5:A15&gt;=AG15-3*(AG17-AG15)/2,A5:A15,""))</f>
        <v>2</v>
      </c>
      <c r="AH14" s="8">
        <f t="array" ref="AH14">MIN(IF(B5:B15&gt;=AH15-3*(AH17-AH15)/2,B5:B15,""))</f>
        <v>0</v>
      </c>
      <c r="AJ14" s="14" t="s">
        <v>72</v>
      </c>
      <c r="AK14" s="14" t="e">
        <f ca="1">DAGOSTINO(A5:A15)</f>
        <v>#NAME?</v>
      </c>
      <c r="AL14" s="14" t="e">
        <f ca="1">DAGOSTINO(B5:B15)</f>
        <v>#NAME?</v>
      </c>
      <c r="AN14">
        <f t="shared" si="5"/>
        <v>7</v>
      </c>
      <c r="AO14" t="e">
        <f ca="1"/>
        <v>#NAME?</v>
      </c>
      <c r="AP14">
        <f t="shared" si="1"/>
        <v>-0.47278912099226744</v>
      </c>
      <c r="AQ14" t="e">
        <f t="shared" ca="1" si="2"/>
        <v>#NAME?</v>
      </c>
      <c r="AS14">
        <f t="shared" si="6"/>
        <v>7</v>
      </c>
      <c r="AT14" t="e">
        <f ca="1"/>
        <v>#NAME?</v>
      </c>
      <c r="AU14">
        <f t="shared" si="3"/>
        <v>-0.38532046640756784</v>
      </c>
      <c r="AV14" t="e">
        <f t="shared" ca="1" si="4"/>
        <v>#NAME?</v>
      </c>
    </row>
    <row r="15" spans="1:48" ht="15" thickBot="1" x14ac:dyDescent="0.4">
      <c r="A15" s="5">
        <v>40</v>
      </c>
      <c r="B15" s="5"/>
      <c r="D15" s="5" t="e">
        <f ca="1"/>
        <v>#NAME?</v>
      </c>
      <c r="E15" s="5" t="e">
        <f ca="1"/>
        <v>#NAME?</v>
      </c>
      <c r="G15" t="s">
        <v>54</v>
      </c>
      <c r="H15" s="22">
        <f>H7+I7-2</f>
        <v>15</v>
      </c>
      <c r="K15" t="e">
        <f ca="1">FTEXT(H15)</f>
        <v>#NAME?</v>
      </c>
      <c r="M15" t="s">
        <v>73</v>
      </c>
      <c r="Q15" t="s">
        <v>41</v>
      </c>
      <c r="R15">
        <f>R10</f>
        <v>0.05</v>
      </c>
      <c r="X15" t="s">
        <v>74</v>
      </c>
      <c r="Y15" s="23" t="e">
        <f ca="1">ABS(STANDARDIZE(Y12,Y13,Y14))</f>
        <v>#NAME?</v>
      </c>
      <c r="AB15" t="s">
        <v>75</v>
      </c>
      <c r="AC15">
        <f>AC16-AC17</f>
        <v>38</v>
      </c>
      <c r="AD15">
        <f>AD16-AD17</f>
        <v>36</v>
      </c>
      <c r="AF15" t="s">
        <v>76</v>
      </c>
      <c r="AG15" s="10">
        <f>QUARTILE(A5:A15,1)</f>
        <v>6</v>
      </c>
      <c r="AH15" s="11">
        <f>QUARTILE(B5:B15,1)</f>
        <v>8.5</v>
      </c>
      <c r="AJ15" t="s">
        <v>33</v>
      </c>
      <c r="AK15" t="e">
        <f ca="1">DPTEST(A5:A15)</f>
        <v>#NAME?</v>
      </c>
      <c r="AL15" t="e">
        <f ca="1">DPTEST(B5:B15)</f>
        <v>#NAME?</v>
      </c>
      <c r="AN15">
        <f t="shared" si="5"/>
        <v>9</v>
      </c>
      <c r="AO15" t="e">
        <f ca="1"/>
        <v>#NAME?</v>
      </c>
      <c r="AP15">
        <f t="shared" si="1"/>
        <v>-0.22988411757923208</v>
      </c>
      <c r="AQ15" t="e">
        <f t="shared" ca="1" si="2"/>
        <v>#NAME?</v>
      </c>
      <c r="AS15">
        <f t="shared" si="6"/>
        <v>9</v>
      </c>
      <c r="AT15" t="e">
        <f ca="1"/>
        <v>#NAME?</v>
      </c>
      <c r="AU15">
        <f t="shared" si="3"/>
        <v>-0.12566134685507402</v>
      </c>
      <c r="AV15" t="e">
        <f t="shared" ca="1" si="4"/>
        <v>#NAME?</v>
      </c>
    </row>
    <row r="16" spans="1:48" ht="15" thickTop="1" x14ac:dyDescent="0.35">
      <c r="G16" t="s">
        <v>33</v>
      </c>
      <c r="H16" s="24" t="e">
        <f ca="1">TDIST(ABS(H14),H15,2)</f>
        <v>#NAME?</v>
      </c>
      <c r="K16" s="9" t="s">
        <v>77</v>
      </c>
      <c r="M16" s="6" t="s">
        <v>51</v>
      </c>
      <c r="N16" s="6" t="s">
        <v>52</v>
      </c>
      <c r="O16" s="6" t="s">
        <v>53</v>
      </c>
      <c r="P16" s="6" t="s">
        <v>54</v>
      </c>
      <c r="Q16" s="6" t="s">
        <v>33</v>
      </c>
      <c r="R16" s="6" t="s">
        <v>55</v>
      </c>
      <c r="S16" s="6" t="s">
        <v>56</v>
      </c>
      <c r="T16" s="6" t="s">
        <v>57</v>
      </c>
      <c r="U16" s="6" t="s">
        <v>58</v>
      </c>
      <c r="V16" s="6" t="s">
        <v>59</v>
      </c>
      <c r="X16" t="s">
        <v>59</v>
      </c>
      <c r="Y16" s="23" t="e">
        <f ca="1">Y15/SQRT(Y5+Z5)</f>
        <v>#NAME?</v>
      </c>
      <c r="AB16" t="s">
        <v>78</v>
      </c>
      <c r="AC16">
        <f>MAX(A5:A15)</f>
        <v>40</v>
      </c>
      <c r="AD16">
        <f>MAX(B5:B15)</f>
        <v>38</v>
      </c>
      <c r="AF16" t="s">
        <v>37</v>
      </c>
      <c r="AG16" s="10">
        <f>MEDIAN(A5:A15)</f>
        <v>9</v>
      </c>
      <c r="AH16" s="11">
        <f>MEDIAN(B5:B15)</f>
        <v>16.5</v>
      </c>
      <c r="AJ16" t="s">
        <v>39</v>
      </c>
      <c r="AK16">
        <v>0.05</v>
      </c>
      <c r="AL16">
        <v>0.05</v>
      </c>
      <c r="AN16">
        <f t="shared" si="5"/>
        <v>11</v>
      </c>
      <c r="AO16" t="e">
        <f ca="1"/>
        <v>#NAME?</v>
      </c>
      <c r="AP16">
        <f t="shared" si="1"/>
        <v>0</v>
      </c>
      <c r="AQ16" t="e">
        <f t="shared" ca="1" si="2"/>
        <v>#NAME?</v>
      </c>
      <c r="AS16">
        <f t="shared" si="6"/>
        <v>11</v>
      </c>
      <c r="AT16" t="e">
        <f ca="1"/>
        <v>#NAME?</v>
      </c>
      <c r="AU16">
        <f t="shared" si="3"/>
        <v>0.12566134685507416</v>
      </c>
      <c r="AV16" t="e">
        <f t="shared" ca="1" si="4"/>
        <v>#NAME?</v>
      </c>
    </row>
    <row r="17" spans="7:48" x14ac:dyDescent="0.35">
      <c r="M17" t="s">
        <v>63</v>
      </c>
      <c r="N17">
        <f>SQRT(P6/N6+P7/N7)</f>
        <v>5.5437230282341945</v>
      </c>
      <c r="O17">
        <f>(ABS(O6-O7-Q4))/N17</f>
        <v>0.65430266064863207</v>
      </c>
      <c r="P17">
        <f>(P6/N6+P7/N7)^2/((P6/N6)^2/(N6-1)+(P7/N7)^2/(N7-1))</f>
        <v>18.999470535331312</v>
      </c>
      <c r="Q17" t="e">
        <f ca="1">T_DIST_RT(O17,P17)</f>
        <v>#NAME?</v>
      </c>
      <c r="R17" t="e">
        <f ca="1">T_INV(1-R15,P17)</f>
        <v>#NAME?</v>
      </c>
      <c r="U17" s="4" t="e">
        <f ca="1">IF(Q17&lt;R15,"yes","no")</f>
        <v>#NAME?</v>
      </c>
      <c r="V17">
        <f>SQRT(O17^2/(O17^2+P17))</f>
        <v>0.14844627537026292</v>
      </c>
      <c r="X17" t="s">
        <v>79</v>
      </c>
      <c r="Y17" s="21" t="e">
        <f ca="1">Y13+Y14*NORMSINV(Y11)</f>
        <v>#NAME?</v>
      </c>
      <c r="Z17" s="8" t="e">
        <f ca="1">Y13+Y14*NORMSINV(Y11/2)</f>
        <v>#NAME?</v>
      </c>
      <c r="AB17" t="s">
        <v>80</v>
      </c>
      <c r="AC17">
        <f>MIN(A5:A15)</f>
        <v>2</v>
      </c>
      <c r="AD17">
        <f>MIN(B5:B15)</f>
        <v>2</v>
      </c>
      <c r="AF17" t="s">
        <v>81</v>
      </c>
      <c r="AG17" s="10">
        <f>QUARTILE(A5:A15,3)</f>
        <v>19</v>
      </c>
      <c r="AH17" s="11">
        <f>QUARTILE(B5:B15,3)</f>
        <v>26.5</v>
      </c>
      <c r="AJ17" s="17" t="s">
        <v>46</v>
      </c>
      <c r="AK17" s="19" t="e">
        <f ca="1">IF(AK15&lt;AK16,"no","yes")</f>
        <v>#NAME?</v>
      </c>
      <c r="AL17" s="19" t="e">
        <f ca="1">IF(AL15&lt;AL16,"no","yes")</f>
        <v>#NAME?</v>
      </c>
      <c r="AN17">
        <f t="shared" si="5"/>
        <v>13</v>
      </c>
      <c r="AO17" t="e">
        <f ca="1"/>
        <v>#NAME?</v>
      </c>
      <c r="AP17">
        <f t="shared" si="1"/>
        <v>0.22988411757923222</v>
      </c>
      <c r="AQ17" t="e">
        <f t="shared" ca="1" si="2"/>
        <v>#NAME?</v>
      </c>
      <c r="AS17">
        <f t="shared" si="6"/>
        <v>13</v>
      </c>
      <c r="AT17" t="e">
        <f ca="1"/>
        <v>#NAME?</v>
      </c>
      <c r="AU17">
        <f t="shared" si="3"/>
        <v>0.38532046640756784</v>
      </c>
      <c r="AV17" t="e">
        <f t="shared" ca="1" si="4"/>
        <v>#NAME?</v>
      </c>
    </row>
    <row r="18" spans="7:48" x14ac:dyDescent="0.35">
      <c r="G18" t="e">
        <f t="array" aca="1" ref="G18:H20" ca="1">TRIMTEST(A5:A15,B5:B15,TRUE)</f>
        <v>#NAME?</v>
      </c>
      <c r="H18" s="25" t="e">
        <f ca="1"/>
        <v>#NAME?</v>
      </c>
      <c r="K18" t="e">
        <f ca="1">FTEXT(H18)</f>
        <v>#NAME?</v>
      </c>
      <c r="M18" t="s">
        <v>67</v>
      </c>
      <c r="N18">
        <f>N17</f>
        <v>5.5437230282341945</v>
      </c>
      <c r="O18">
        <f>O17</f>
        <v>0.65430266064863207</v>
      </c>
      <c r="P18">
        <f>P17</f>
        <v>18.999470535331312</v>
      </c>
      <c r="Q18" t="e">
        <f ca="1">T_DIST_2T(O18,P18)</f>
        <v>#NAME?</v>
      </c>
      <c r="R18" t="e">
        <f ca="1">T_INV_2T(R15,P18)</f>
        <v>#NAME?</v>
      </c>
      <c r="S18" t="e">
        <f ca="1">(O6-O7)-R18*N18</f>
        <v>#NAME?</v>
      </c>
      <c r="T18" t="e">
        <f ca="1">(O6-O7)+R18*N18</f>
        <v>#NAME?</v>
      </c>
      <c r="U18" s="4" t="e">
        <f ca="1">IF(Q18&lt;R15,"yes","no")</f>
        <v>#NAME?</v>
      </c>
      <c r="V18">
        <f>V17</f>
        <v>0.14844627537026292</v>
      </c>
      <c r="X18" t="s">
        <v>33</v>
      </c>
      <c r="Y18" s="23" t="e">
        <f ca="1">1-NORMSDIST(Y15)</f>
        <v>#NAME?</v>
      </c>
      <c r="Z18" s="11" t="e">
        <f ca="1">2*Y18</f>
        <v>#NAME?</v>
      </c>
      <c r="AB18" t="s">
        <v>82</v>
      </c>
      <c r="AC18">
        <f>SUM(A5:A15)</f>
        <v>157</v>
      </c>
      <c r="AD18">
        <f>SUM(B5:B15)</f>
        <v>179</v>
      </c>
      <c r="AF18" t="s">
        <v>83</v>
      </c>
      <c r="AG18" s="10">
        <f t="array" ref="AG18">MAX(IF(A5:A15&lt;=AG17+3*(AG17-AG15)/2,A5:A15,""))</f>
        <v>35</v>
      </c>
      <c r="AH18" s="11">
        <f t="array" ref="AH18">MAX(IF(B5:B15&lt;=AH17+3*(AH17-AH15)/2,B5:B15,""))</f>
        <v>38</v>
      </c>
      <c r="AN18">
        <f t="shared" si="5"/>
        <v>15</v>
      </c>
      <c r="AO18" t="e">
        <f ca="1"/>
        <v>#NAME?</v>
      </c>
      <c r="AP18">
        <f t="shared" si="1"/>
        <v>0.47278912099226728</v>
      </c>
      <c r="AQ18" t="e">
        <f t="shared" ca="1" si="2"/>
        <v>#NAME?</v>
      </c>
      <c r="AS18">
        <f t="shared" si="6"/>
        <v>15</v>
      </c>
      <c r="AT18" t="e">
        <f ca="1"/>
        <v>#NAME?</v>
      </c>
      <c r="AU18">
        <f t="shared" si="3"/>
        <v>0.67448975019608193</v>
      </c>
      <c r="AV18" t="e">
        <f t="shared" ca="1" si="4"/>
        <v>#NAME?</v>
      </c>
    </row>
    <row r="19" spans="7:48" x14ac:dyDescent="0.35">
      <c r="G19" t="e">
        <f ca="1"/>
        <v>#NAME?</v>
      </c>
      <c r="H19" s="22" t="e">
        <f ca="1"/>
        <v>#NAME?</v>
      </c>
      <c r="M19" s="26"/>
      <c r="N19" s="26"/>
      <c r="O19" s="26"/>
      <c r="P19" s="26"/>
      <c r="Q19" s="26"/>
      <c r="R19" s="26"/>
      <c r="S19" s="26"/>
      <c r="T19" s="26"/>
      <c r="U19" s="26"/>
      <c r="V19" s="26"/>
      <c r="X19" t="s">
        <v>84</v>
      </c>
      <c r="Y19" s="27" t="e">
        <f ca="1">IF(Y18&lt;Y11,"yes","no")</f>
        <v>#NAME?</v>
      </c>
      <c r="Z19" s="28" t="e">
        <f ca="1">IF(Z18&lt;Y11,"yes","no")</f>
        <v>#NAME?</v>
      </c>
      <c r="AB19" t="s">
        <v>17</v>
      </c>
      <c r="AC19">
        <f>COUNT(A5:A15)</f>
        <v>11</v>
      </c>
      <c r="AD19">
        <f>COUNT(B5:B15)</f>
        <v>10</v>
      </c>
      <c r="AF19" t="s">
        <v>18</v>
      </c>
      <c r="AG19" s="15">
        <f>AVERAGE(A5:A15)</f>
        <v>14.272727272727273</v>
      </c>
      <c r="AH19" s="16">
        <f>AVERAGE(B5:B15)</f>
        <v>17.899999999999999</v>
      </c>
      <c r="AN19">
        <f t="shared" si="5"/>
        <v>17</v>
      </c>
      <c r="AO19" t="e">
        <f ca="1"/>
        <v>#NAME?</v>
      </c>
      <c r="AP19">
        <f t="shared" si="1"/>
        <v>0.74785859476330196</v>
      </c>
      <c r="AQ19" t="e">
        <f t="shared" ca="1" si="2"/>
        <v>#NAME?</v>
      </c>
      <c r="AS19">
        <f t="shared" si="6"/>
        <v>17</v>
      </c>
      <c r="AT19" t="e">
        <f ca="1"/>
        <v>#NAME?</v>
      </c>
      <c r="AU19">
        <f t="shared" si="3"/>
        <v>1.0364333894937898</v>
      </c>
      <c r="AV19" t="e">
        <f t="shared" ca="1" si="4"/>
        <v>#NAME?</v>
      </c>
    </row>
    <row r="20" spans="7:48" x14ac:dyDescent="0.35">
      <c r="G20" t="e">
        <f ca="1"/>
        <v>#NAME?</v>
      </c>
      <c r="H20" s="24" t="e">
        <f ca="1"/>
        <v>#NAME?</v>
      </c>
      <c r="AB20" t="s">
        <v>85</v>
      </c>
      <c r="AC20">
        <f>GEOMEAN(A5:A15)</f>
        <v>9.6949861120576113</v>
      </c>
      <c r="AD20">
        <f>GEOMEAN(B5:B15)</f>
        <v>13.34226377395594</v>
      </c>
      <c r="AN20">
        <f t="shared" si="5"/>
        <v>19</v>
      </c>
      <c r="AO20" t="e">
        <f ca="1"/>
        <v>#NAME?</v>
      </c>
      <c r="AP20">
        <f t="shared" si="1"/>
        <v>1.096803562093513</v>
      </c>
      <c r="AQ20" t="e">
        <f t="shared" ca="1" si="2"/>
        <v>#NAME?</v>
      </c>
      <c r="AS20">
        <f t="shared" si="6"/>
        <v>19</v>
      </c>
      <c r="AT20" t="e">
        <f ca="1"/>
        <v>#NAME?</v>
      </c>
      <c r="AU20">
        <f t="shared" si="3"/>
        <v>1.6448536269514715</v>
      </c>
      <c r="AV20" t="e">
        <f t="shared" ca="1" si="4"/>
        <v>#NAME?</v>
      </c>
    </row>
    <row r="21" spans="7:48" x14ac:dyDescent="0.35">
      <c r="X21" t="s">
        <v>79</v>
      </c>
      <c r="Y21" s="21" t="e">
        <f ca="1">MCRIT(Y5,Z5,Y11,1)</f>
        <v>#NAME?</v>
      </c>
      <c r="Z21" s="21" t="e">
        <f ca="1">MCRIT(Y5,Z5,Y11,2)</f>
        <v>#NAME?</v>
      </c>
      <c r="AB21" t="s">
        <v>86</v>
      </c>
      <c r="AC21">
        <f>HARMEAN(A5:A15)</f>
        <v>6.7510959571358997</v>
      </c>
      <c r="AD21">
        <f>HARMEAN(B5:B15)</f>
        <v>8.5857805901716144</v>
      </c>
      <c r="AF21" t="s">
        <v>87</v>
      </c>
      <c r="AG21" s="29">
        <f>IF(MIN(AG14:AH14)&gt;=0,0,MIN(AG14:AH14))</f>
        <v>0</v>
      </c>
      <c r="AN21">
        <f t="shared" si="5"/>
        <v>21</v>
      </c>
      <c r="AO21" t="e">
        <f ca="1"/>
        <v>#NAME?</v>
      </c>
      <c r="AP21">
        <f t="shared" si="1"/>
        <v>1.6906216295848984</v>
      </c>
      <c r="AQ21" t="e">
        <f t="shared" ca="1" si="2"/>
        <v>#NAME?</v>
      </c>
    </row>
    <row r="22" spans="7:48" x14ac:dyDescent="0.35">
      <c r="X22" t="s">
        <v>88</v>
      </c>
      <c r="Y22" s="27" t="str">
        <f ca="1">IF(ISNUMBER(Y21),IF(Y12&lt;Y21,"yes","no"),"no")</f>
        <v>no</v>
      </c>
      <c r="Z22" s="27" t="str">
        <f ca="1">IF(ISNUMBER(Z21),IF(Y12&lt;Z21,"yes","no"),"no")</f>
        <v>no</v>
      </c>
      <c r="AB22" t="s">
        <v>89</v>
      </c>
      <c r="AC22">
        <f>AVEDEV(A5:A15)</f>
        <v>10.942148760330577</v>
      </c>
      <c r="AD22">
        <f>AVEDEV(B5:B15)</f>
        <v>10.499999999999996</v>
      </c>
    </row>
    <row r="23" spans="7:48" x14ac:dyDescent="0.35">
      <c r="AB23" t="s">
        <v>90</v>
      </c>
      <c r="AC23" t="e">
        <f ca="1">MAD(A5:A15)</f>
        <v>#NAME?</v>
      </c>
      <c r="AD23" t="e">
        <f ca="1">MAD(B5:B15)</f>
        <v>#NAME?</v>
      </c>
    </row>
    <row r="24" spans="7:48" x14ac:dyDescent="0.35">
      <c r="X24" t="s">
        <v>33</v>
      </c>
      <c r="Y24" s="21" t="e">
        <f ca="1">MANN_EXACT(A5:A15,B5:B15,1)</f>
        <v>#NAME?</v>
      </c>
      <c r="Z24" s="21" t="e">
        <f ca="1">2*Y24</f>
        <v>#NAME?</v>
      </c>
      <c r="AB24" s="17" t="s">
        <v>91</v>
      </c>
      <c r="AC24" s="17" t="e">
        <f ca="1">IQR(A5:A15,FALSE)</f>
        <v>#NAME?</v>
      </c>
      <c r="AD24" s="17" t="e">
        <f ca="1">IQR(B5:B15,FALSE)</f>
        <v>#NAME?</v>
      </c>
    </row>
    <row r="25" spans="7:48" x14ac:dyDescent="0.35">
      <c r="X25" t="s">
        <v>92</v>
      </c>
      <c r="Y25" s="27" t="e">
        <f ca="1">IF(Y24&lt;Y11,"yes","no")</f>
        <v>#NAME?</v>
      </c>
      <c r="Z25" s="27" t="e">
        <f ca="1">IF(Z24&lt;Y11,"yes","no")</f>
        <v>#NAME?</v>
      </c>
    </row>
  </sheetData>
  <mergeCells count="2">
    <mergeCell ref="A3:B3"/>
    <mergeCell ref="D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Trim 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2026-01-04T11:20:20Z</dcterms:created>
  <dcterms:modified xsi:type="dcterms:W3CDTF">2026-01-04T11:22:05Z</dcterms:modified>
</cp:coreProperties>
</file>