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8D64B1A7-E8E3-4960-99F5-48CA32930E62}" xr6:coauthVersionLast="47" xr6:coauthVersionMax="47" xr10:uidLastSave="{00000000-0000-0000-0000-000000000000}"/>
  <bookViews>
    <workbookView xWindow="-110" yWindow="-110" windowWidth="19420" windowHeight="10300" xr2:uid="{5B8EFF57-91FA-4D45-AF2E-7757FF2AB4C8}"/>
  </bookViews>
  <sheets>
    <sheet name="Title" sheetId="2" r:id="rId1"/>
    <sheet name="Season" sheetId="1" r:id="rId2"/>
  </sheets>
  <externalReferences>
    <externalReference r:id="rId3"/>
    <externalReference r:id="rId4"/>
    <externalReference r:id="rId5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J23" i="1"/>
  <c r="J20" i="1" a="1"/>
  <c r="J22" i="1" s="1"/>
  <c r="E19" i="1"/>
  <c r="L16" i="1"/>
  <c r="E15" i="1"/>
  <c r="K14" i="1"/>
  <c r="E11" i="1"/>
  <c r="K10" i="1"/>
  <c r="E7" i="1"/>
  <c r="H4" i="1" s="1" a="1"/>
  <c r="Q22" i="1"/>
  <c r="Q21" i="1"/>
  <c r="K19" i="1" a="1"/>
  <c r="Q20" i="1"/>
  <c r="Q23" i="1"/>
  <c r="K19" i="1" l="1"/>
  <c r="K23" i="1"/>
  <c r="L22" i="1"/>
  <c r="K22" i="1"/>
  <c r="L21" i="1"/>
  <c r="K21" i="1"/>
  <c r="L20" i="1"/>
  <c r="K20" i="1"/>
  <c r="L19" i="1"/>
  <c r="L23" i="1"/>
  <c r="M23" i="1" s="1"/>
  <c r="N23" i="1" s="1"/>
  <c r="H17" i="1"/>
  <c r="H5" i="1"/>
  <c r="H16" i="1"/>
  <c r="H4" i="1"/>
  <c r="H15" i="1"/>
  <c r="H14" i="1"/>
  <c r="H13" i="1"/>
  <c r="H10" i="1"/>
  <c r="H21" i="1"/>
  <c r="H9" i="1"/>
  <c r="H18" i="1"/>
  <c r="H6" i="1"/>
  <c r="H12" i="1"/>
  <c r="H23" i="1"/>
  <c r="H11" i="1"/>
  <c r="H22" i="1"/>
  <c r="H20" i="1"/>
  <c r="H8" i="1"/>
  <c r="H19" i="1"/>
  <c r="H7" i="1"/>
  <c r="K16" i="1"/>
  <c r="K15" i="1" s="1"/>
  <c r="P22" i="1"/>
  <c r="M20" i="1"/>
  <c r="N20" i="1" s="1"/>
  <c r="J20" i="1"/>
  <c r="J21" i="1"/>
  <c r="L14" i="1"/>
  <c r="M22" i="1" l="1"/>
  <c r="P21" i="1"/>
  <c r="O21" i="1"/>
  <c r="M21" i="1"/>
  <c r="N21" i="1" s="1"/>
  <c r="F26" i="1"/>
  <c r="E26" i="1"/>
  <c r="P19" i="1"/>
  <c r="O19" i="1"/>
  <c r="M19" i="1"/>
  <c r="N19" i="1" s="1"/>
  <c r="O23" i="1"/>
  <c r="P20" i="1"/>
  <c r="O20" i="1"/>
  <c r="N22" i="1"/>
  <c r="O22" i="1"/>
  <c r="P23" i="1"/>
  <c r="K7" i="1" l="1"/>
  <c r="M14" i="1"/>
  <c r="L15" i="1"/>
  <c r="N8" i="1" l="1"/>
  <c r="M15" i="1"/>
  <c r="K9" i="1" s="1"/>
  <c r="N6" i="1"/>
  <c r="N7" i="1" s="1"/>
  <c r="N14" i="1"/>
  <c r="O14" i="1" s="1"/>
  <c r="P14" i="1" s="1"/>
  <c r="K8" i="1"/>
  <c r="K6" i="1"/>
</calcChain>
</file>

<file path=xl/sharedStrings.xml><?xml version="1.0" encoding="utf-8"?>
<sst xmlns="http://schemas.openxmlformats.org/spreadsheetml/2006/main" count="44" uniqueCount="43">
  <si>
    <t>Regression Forecast with Seasonality</t>
  </si>
  <si>
    <t>Year</t>
  </si>
  <si>
    <t>Quarter</t>
  </si>
  <si>
    <t>Rev ($M)</t>
  </si>
  <si>
    <t>t</t>
  </si>
  <si>
    <t>Q1</t>
  </si>
  <si>
    <t>Q2</t>
  </si>
  <si>
    <t>Q3</t>
  </si>
  <si>
    <t>Pred</t>
  </si>
  <si>
    <t>Regression Analysis</t>
  </si>
  <si>
    <t>OVERALL FIT</t>
  </si>
  <si>
    <t>Multiple R</t>
  </si>
  <si>
    <t>AIC</t>
  </si>
  <si>
    <t>R Square</t>
  </si>
  <si>
    <t>AICc</t>
  </si>
  <si>
    <t>Adjusted R Square</t>
  </si>
  <si>
    <t>SBC</t>
  </si>
  <si>
    <t>Standard Error</t>
  </si>
  <si>
    <t>Observations</t>
  </si>
  <si>
    <t>ANOVA</t>
  </si>
  <si>
    <t>Alpha</t>
  </si>
  <si>
    <t>df</t>
  </si>
  <si>
    <t>SS</t>
  </si>
  <si>
    <t>MS</t>
  </si>
  <si>
    <t>F</t>
  </si>
  <si>
    <t>p-value</t>
  </si>
  <si>
    <t>sig</t>
  </si>
  <si>
    <t>Regression</t>
  </si>
  <si>
    <t>Residual</t>
  </si>
  <si>
    <t>Total</t>
  </si>
  <si>
    <t>coeff</t>
  </si>
  <si>
    <t>std err</t>
  </si>
  <si>
    <t>t stat</t>
  </si>
  <si>
    <t>lower</t>
  </si>
  <si>
    <t>upper</t>
  </si>
  <si>
    <t>vif</t>
  </si>
  <si>
    <t>Intercept</t>
  </si>
  <si>
    <t>MAE</t>
  </si>
  <si>
    <t>MSE</t>
  </si>
  <si>
    <t>Real Statistics Using Excel</t>
  </si>
  <si>
    <t>Updated</t>
  </si>
  <si>
    <t>Copyright © 2013 - 2026 Charles Zaiontz</t>
  </si>
  <si>
    <t>Regression Forecasts with Seasonality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</si>
</sst>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" xfId="0" applyBorder="1"/>
    <xf numFmtId="0" fontId="0" fillId="2" borderId="0" xfId="0" applyFill="1"/>
    <xf numFmtId="0" fontId="0" fillId="2" borderId="2" xfId="0" applyFill="1" applyBorder="1"/>
    <xf numFmtId="0" fontId="0" fillId="0" borderId="3" xfId="0" applyBorder="1"/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/>
    <xf numFmtId="0" fontId="0" fillId="0" borderId="6" xfId="0" applyBorder="1"/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Forecast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Actual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Season!$A$4:$B$23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</c:lvl>
              </c:multiLvlStrCache>
            </c:multiLvlStrRef>
          </c:cat>
          <c:val>
            <c:numRef>
              <c:f>Season!$C$4:$C$23</c:f>
              <c:numCache>
                <c:formatCode>0.0</c:formatCode>
                <c:ptCount val="20"/>
                <c:pt idx="0">
                  <c:v>10.5</c:v>
                </c:pt>
                <c:pt idx="1">
                  <c:v>9.1999999999999993</c:v>
                </c:pt>
                <c:pt idx="2">
                  <c:v>13.1</c:v>
                </c:pt>
                <c:pt idx="3">
                  <c:v>16</c:v>
                </c:pt>
                <c:pt idx="4">
                  <c:v>13.6</c:v>
                </c:pt>
                <c:pt idx="5">
                  <c:v>12.2</c:v>
                </c:pt>
                <c:pt idx="6">
                  <c:v>15.6</c:v>
                </c:pt>
                <c:pt idx="7">
                  <c:v>19.399999999999999</c:v>
                </c:pt>
                <c:pt idx="8">
                  <c:v>15.9</c:v>
                </c:pt>
                <c:pt idx="9">
                  <c:v>14.7</c:v>
                </c:pt>
                <c:pt idx="10">
                  <c:v>18.3</c:v>
                </c:pt>
                <c:pt idx="11">
                  <c:v>20.5</c:v>
                </c:pt>
                <c:pt idx="12">
                  <c:v>16.600000000000001</c:v>
                </c:pt>
                <c:pt idx="13">
                  <c:v>15.7</c:v>
                </c:pt>
                <c:pt idx="14">
                  <c:v>20</c:v>
                </c:pt>
                <c:pt idx="15">
                  <c:v>23.3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B1-4CD2-AA35-B22EA900A42A}"/>
            </c:ext>
          </c:extLst>
        </c:ser>
        <c:ser>
          <c:idx val="1"/>
          <c:order val="1"/>
          <c:tx>
            <c:v>Forecast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Season!$A$4:$B$23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</c:lvl>
              </c:multiLvlStrCache>
            </c:multiLvlStrRef>
          </c:cat>
          <c:val>
            <c:numRef>
              <c:f>Season!$H$4:$H$23</c:f>
              <c:numCache>
                <c:formatCode>General</c:formatCode>
                <c:ptCount val="20"/>
                <c:pt idx="0">
                  <c:v>10.812499999999998</c:v>
                </c:pt>
                <c:pt idx="1">
                  <c:v>9.6124999999999972</c:v>
                </c:pt>
                <c:pt idx="2">
                  <c:v>13.412499999999998</c:v>
                </c:pt>
                <c:pt idx="3">
                  <c:v>16.462499999999999</c:v>
                </c:pt>
                <c:pt idx="4">
                  <c:v>13.0375</c:v>
                </c:pt>
                <c:pt idx="5">
                  <c:v>11.837499999999997</c:v>
                </c:pt>
                <c:pt idx="6">
                  <c:v>15.637499999999999</c:v>
                </c:pt>
                <c:pt idx="7">
                  <c:v>18.6875</c:v>
                </c:pt>
                <c:pt idx="8">
                  <c:v>15.262500000000001</c:v>
                </c:pt>
                <c:pt idx="9">
                  <c:v>14.062499999999998</c:v>
                </c:pt>
                <c:pt idx="10">
                  <c:v>17.862500000000001</c:v>
                </c:pt>
                <c:pt idx="11">
                  <c:v>20.912500000000001</c:v>
                </c:pt>
                <c:pt idx="12">
                  <c:v>17.487500000000001</c:v>
                </c:pt>
                <c:pt idx="13">
                  <c:v>16.287499999999998</c:v>
                </c:pt>
                <c:pt idx="14">
                  <c:v>20.087500000000002</c:v>
                </c:pt>
                <c:pt idx="15">
                  <c:v>23.137500000000003</c:v>
                </c:pt>
                <c:pt idx="16">
                  <c:v>19.712500000000002</c:v>
                </c:pt>
                <c:pt idx="17">
                  <c:v>18.512499999999999</c:v>
                </c:pt>
                <c:pt idx="18">
                  <c:v>22.312500000000004</c:v>
                </c:pt>
                <c:pt idx="19">
                  <c:v>25.362500000000004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B1-4CD2-AA35-B22EA900A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9297072"/>
        <c:axId val="479297464"/>
      </c:lineChart>
      <c:catAx>
        <c:axId val="479297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297464"/>
        <c:crosses val="autoZero"/>
        <c:auto val="0"/>
        <c:lblAlgn val="ctr"/>
        <c:lblOffset val="100"/>
        <c:noMultiLvlLbl val="0"/>
      </c:catAx>
      <c:valAx>
        <c:axId val="479297464"/>
        <c:scaling>
          <c:orientation val="minMax"/>
          <c:max val="26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 Revenue</a:t>
                </a:r>
                <a:r>
                  <a:rPr lang="en-GB" baseline="0"/>
                  <a:t> ($M)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297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142875</xdr:colOff>
      <xdr:row>3</xdr:row>
      <xdr:rowOff>4762</xdr:rowOff>
    </xdr:from>
    <xdr:to>
      <xdr:col>24</xdr:col>
      <xdr:colOff>447675</xdr:colOff>
      <xdr:row>17</xdr:row>
      <xdr:rowOff>33337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9D36F2A-AF45-49B3-BE23-030AA675D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1%2018%20April%202022.xlsx" TargetMode="External"/><Relationship Id="rId1" Type="http://schemas.openxmlformats.org/officeDocument/2006/relationships/externalLinkPath" Target="/38f5cd2f1f925cfd/Documenti/A%20Real%20Statistics%202020/Examples/Real%20Statistics%20Examples%20Regression%201%2018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Reg 1"/>
      <sheetName val="Reg 2"/>
      <sheetName val="Reg 3"/>
      <sheetName val="Reg 4"/>
      <sheetName val="Reg 5"/>
      <sheetName val="Reg 6"/>
      <sheetName val="Reg 7"/>
      <sheetName val="Exp Reg"/>
      <sheetName val="Exp Reg1"/>
      <sheetName val="Exp Reg2"/>
      <sheetName val="Exp Reg3"/>
      <sheetName val="Exp Reg4"/>
      <sheetName val="Exp Reg5"/>
      <sheetName val="Pow Reg"/>
      <sheetName val="Reg T 1"/>
      <sheetName val="Reg T 1A"/>
      <sheetName val="Reg T 2"/>
      <sheetName val="Reg T 2A"/>
      <sheetName val="TReg"/>
      <sheetName val="Dem 1"/>
      <sheetName val="Dem 2"/>
      <sheetName val="Dem 3"/>
      <sheetName val="Dem 4"/>
      <sheetName val="Dem 5"/>
      <sheetName val="Dem 6"/>
      <sheetName val="Dem 7"/>
      <sheetName val="Dem 8"/>
      <sheetName val="PB"/>
      <sheetName val="Mult Reg 1"/>
      <sheetName val="Mult Reg 2"/>
      <sheetName val="Mult Reg 2A"/>
      <sheetName val="Mult Reg 2B"/>
      <sheetName val="Mult Reg 3"/>
      <sheetName val="Mult Reg 4"/>
      <sheetName val="Mult Reg 4A"/>
      <sheetName val="Mult Reg 5"/>
      <sheetName val="Mult Reg 5A"/>
      <sheetName val="Mult Reg 5B"/>
      <sheetName val="Mult Reg 5C"/>
      <sheetName val="Mult Reg 6"/>
      <sheetName val="Mult Reg 6A"/>
      <sheetName val="Mult Reg 6B"/>
      <sheetName val="Mult Reg 6C"/>
      <sheetName val="Mult Reg 7"/>
      <sheetName val="Mult Reg 8"/>
      <sheetName val="Mult Reg 8a"/>
      <sheetName val="Stepwise 1"/>
      <sheetName val="Stepwise 2"/>
      <sheetName val="Season"/>
      <sheetName val="Shapely"/>
      <sheetName val="MCorr"/>
      <sheetName val="Mult Reg Pow"/>
      <sheetName val="Mult Reg Pow 1"/>
      <sheetName val="Mult Reg Pow 2"/>
      <sheetName val="Poly Reg"/>
      <sheetName val="Poly Reg 1"/>
      <sheetName val="Poly Reg 2"/>
      <sheetName val="Poly Reg 3"/>
      <sheetName val="Poly Reg 4"/>
      <sheetName val="Log Reg"/>
      <sheetName val="Interaction Reg"/>
      <sheetName val="Slopes"/>
      <sheetName val="LAD 1"/>
      <sheetName val="LAD 2"/>
      <sheetName val="LAD 3"/>
      <sheetName val="LAD 4"/>
      <sheetName val="LAD 5"/>
      <sheetName val="Lp Reg A"/>
      <sheetName val="Lp Reg B"/>
      <sheetName val="TLS Reg"/>
      <sheetName val="Reg Anova 1"/>
      <sheetName val="Reg Anova 2"/>
      <sheetName val="Reg Anova 3"/>
      <sheetName val="Reg Anova 4"/>
      <sheetName val="Reg Anova 5"/>
      <sheetName val="Reg An3.1"/>
      <sheetName val="Reg An3.2"/>
      <sheetName val="ANOVA Match 2.5"/>
      <sheetName val="ANOVA Match 2.5A"/>
      <sheetName val="ANOVA Match 2.5B"/>
      <sheetName val="Res 1"/>
      <sheetName val="Res 2"/>
      <sheetName val="Res 3"/>
      <sheetName val="Res 4"/>
      <sheetName val="Cooks 1"/>
      <sheetName val="Cooks 2"/>
      <sheetName val="Cooks 3"/>
      <sheetName val="Reg No Const"/>
      <sheetName val="Reg No Const 1"/>
      <sheetName val="Heter 1"/>
      <sheetName val="Heter 2"/>
      <sheetName val="Heter 3"/>
      <sheetName val="Heter 4"/>
      <sheetName val="Heter 5"/>
      <sheetName val="WReg A"/>
      <sheetName val="WReg B"/>
      <sheetName val="WReg C"/>
      <sheetName val="WReg D"/>
      <sheetName val="WReg E"/>
      <sheetName val="WReg B0"/>
      <sheetName val="WReg0"/>
      <sheetName val="Robust"/>
      <sheetName val="Autocorr"/>
      <sheetName val="Runs"/>
      <sheetName val="Durbin"/>
      <sheetName val="BG"/>
      <sheetName val="FGLS 1"/>
      <sheetName val="FGLS 2"/>
      <sheetName val="OC"/>
      <sheetName val="OC 1"/>
      <sheetName val="Newey"/>
      <sheetName val="Newey 1"/>
      <sheetName val="Collinearity"/>
      <sheetName val="VIF"/>
      <sheetName val="Ridge 1"/>
      <sheetName val="Ridge 2"/>
      <sheetName val="Ridge 3"/>
      <sheetName val="LASSO"/>
      <sheetName val="Med"/>
      <sheetName val="CV"/>
      <sheetName val="DW Table 1"/>
      <sheetName val="DW Table 2"/>
      <sheetName val="DW Table 3"/>
      <sheetName val="DW Table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4">
          <cell r="A4">
            <v>2012</v>
          </cell>
          <cell r="B4">
            <v>1</v>
          </cell>
          <cell r="C4">
            <v>10.5</v>
          </cell>
          <cell r="H4">
            <v>10.812499999999998</v>
          </cell>
        </row>
        <row r="5">
          <cell r="B5">
            <v>2</v>
          </cell>
          <cell r="C5">
            <v>9.1999999999999993</v>
          </cell>
          <cell r="H5">
            <v>9.6124999999999972</v>
          </cell>
        </row>
        <row r="6">
          <cell r="B6">
            <v>3</v>
          </cell>
          <cell r="C6">
            <v>13.1</v>
          </cell>
          <cell r="H6">
            <v>13.412499999999998</v>
          </cell>
        </row>
        <row r="7">
          <cell r="B7">
            <v>4</v>
          </cell>
          <cell r="C7">
            <v>16</v>
          </cell>
          <cell r="H7">
            <v>16.462499999999999</v>
          </cell>
        </row>
        <row r="8">
          <cell r="A8">
            <v>2013</v>
          </cell>
          <cell r="B8">
            <v>1</v>
          </cell>
          <cell r="C8">
            <v>13.6</v>
          </cell>
          <cell r="H8">
            <v>13.0375</v>
          </cell>
        </row>
        <row r="9">
          <cell r="B9">
            <v>2</v>
          </cell>
          <cell r="C9">
            <v>12.2</v>
          </cell>
          <cell r="H9">
            <v>11.837499999999997</v>
          </cell>
        </row>
        <row r="10">
          <cell r="B10">
            <v>3</v>
          </cell>
          <cell r="C10">
            <v>15.6</v>
          </cell>
          <cell r="H10">
            <v>15.637499999999999</v>
          </cell>
        </row>
        <row r="11">
          <cell r="B11">
            <v>4</v>
          </cell>
          <cell r="C11">
            <v>19.399999999999999</v>
          </cell>
          <cell r="H11">
            <v>18.6875</v>
          </cell>
        </row>
        <row r="12">
          <cell r="A12">
            <v>2014</v>
          </cell>
          <cell r="B12">
            <v>1</v>
          </cell>
          <cell r="C12">
            <v>15.9</v>
          </cell>
          <cell r="H12">
            <v>15.262500000000001</v>
          </cell>
        </row>
        <row r="13">
          <cell r="B13">
            <v>2</v>
          </cell>
          <cell r="C13">
            <v>14.7</v>
          </cell>
          <cell r="H13">
            <v>14.062499999999998</v>
          </cell>
        </row>
        <row r="14">
          <cell r="B14">
            <v>3</v>
          </cell>
          <cell r="C14">
            <v>18.3</v>
          </cell>
          <cell r="H14">
            <v>17.862500000000001</v>
          </cell>
        </row>
        <row r="15">
          <cell r="B15">
            <v>4</v>
          </cell>
          <cell r="C15">
            <v>20.5</v>
          </cell>
          <cell r="H15">
            <v>20.912500000000001</v>
          </cell>
        </row>
        <row r="16">
          <cell r="A16">
            <v>2015</v>
          </cell>
          <cell r="B16">
            <v>1</v>
          </cell>
          <cell r="C16">
            <v>16.600000000000001</v>
          </cell>
          <cell r="H16">
            <v>17.487500000000001</v>
          </cell>
        </row>
        <row r="17">
          <cell r="B17">
            <v>2</v>
          </cell>
          <cell r="C17">
            <v>15.7</v>
          </cell>
          <cell r="H17">
            <v>16.287499999999998</v>
          </cell>
        </row>
        <row r="18">
          <cell r="B18">
            <v>3</v>
          </cell>
          <cell r="C18">
            <v>20</v>
          </cell>
          <cell r="H18">
            <v>20.087500000000002</v>
          </cell>
        </row>
        <row r="19">
          <cell r="B19">
            <v>4</v>
          </cell>
          <cell r="C19">
            <v>23.3</v>
          </cell>
          <cell r="H19">
            <v>23.137500000000003</v>
          </cell>
        </row>
        <row r="20">
          <cell r="A20">
            <v>2016</v>
          </cell>
          <cell r="B20">
            <v>1</v>
          </cell>
          <cell r="H20">
            <v>19.712500000000002</v>
          </cell>
        </row>
        <row r="21">
          <cell r="B21">
            <v>2</v>
          </cell>
          <cell r="H21">
            <v>18.512499999999999</v>
          </cell>
        </row>
        <row r="22">
          <cell r="B22">
            <v>3</v>
          </cell>
          <cell r="H22">
            <v>22.312500000000004</v>
          </cell>
        </row>
        <row r="23">
          <cell r="B23">
            <v>4</v>
          </cell>
          <cell r="H23">
            <v>25.362500000000004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Roy"/>
      <sheetName val="Pillai"/>
      <sheetName val="Wilk"/>
      <sheetName val="Hotel"/>
    </sheetNames>
    <definedNames>
      <definedName name="DEsign"/>
      <definedName name="RegCoeff"/>
      <definedName name="VIF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2319E-5253-40BF-B556-C5DEC42A7088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39</v>
      </c>
    </row>
    <row r="2" spans="1:13" x14ac:dyDescent="0.35">
      <c r="A2" t="s">
        <v>42</v>
      </c>
    </row>
    <row r="4" spans="1:13" x14ac:dyDescent="0.35">
      <c r="A4" t="s">
        <v>40</v>
      </c>
      <c r="B4" s="17">
        <v>46032</v>
      </c>
    </row>
    <row r="6" spans="1:13" x14ac:dyDescent="0.35">
      <c r="A6" s="18" t="s">
        <v>41</v>
      </c>
    </row>
    <row r="10" spans="1:13" ht="18.5" x14ac:dyDescent="0.45">
      <c r="M10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15C59-8BD8-46C0-823A-DAAA02992380}">
  <sheetPr codeName="Sheet32"/>
  <dimension ref="A1:Q26"/>
  <sheetViews>
    <sheetView workbookViewId="0"/>
  </sheetViews>
  <sheetFormatPr defaultRowHeight="14.5" x14ac:dyDescent="0.35"/>
  <cols>
    <col min="10" max="10" width="17.7265625" customWidth="1"/>
    <col min="11" max="11" width="8.26953125" customWidth="1"/>
  </cols>
  <sheetData>
    <row r="1" spans="1:16" x14ac:dyDescent="0.35">
      <c r="A1" s="1" t="s">
        <v>0</v>
      </c>
    </row>
    <row r="3" spans="1:16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J3" t="s">
        <v>9</v>
      </c>
    </row>
    <row r="4" spans="1:16" x14ac:dyDescent="0.35">
      <c r="A4" s="3">
        <v>2012</v>
      </c>
      <c r="B4" s="3">
        <v>1</v>
      </c>
      <c r="C4" s="4">
        <v>10.5</v>
      </c>
      <c r="D4" s="3">
        <v>1</v>
      </c>
      <c r="E4">
        <v>1</v>
      </c>
      <c r="F4">
        <v>0</v>
      </c>
      <c r="G4">
        <v>0</v>
      </c>
      <c r="H4">
        <f t="array" ref="H4:H23">TREND(C4:C19,D4:G19,D4:G23)</f>
        <v>10.812499999999998</v>
      </c>
    </row>
    <row r="5" spans="1:16" ht="15" thickBot="1" x14ac:dyDescent="0.4">
      <c r="A5" s="3"/>
      <c r="B5" s="3">
        <v>2</v>
      </c>
      <c r="C5" s="4">
        <v>9.1999999999999993</v>
      </c>
      <c r="D5" s="3">
        <v>2</v>
      </c>
      <c r="E5">
        <v>0</v>
      </c>
      <c r="F5">
        <v>1</v>
      </c>
      <c r="G5">
        <v>0</v>
      </c>
      <c r="H5">
        <v>9.6124999999999972</v>
      </c>
      <c r="J5" s="8" t="s">
        <v>10</v>
      </c>
      <c r="K5" s="8"/>
      <c r="M5" s="8"/>
      <c r="N5" s="8"/>
    </row>
    <row r="6" spans="1:16" ht="15" thickTop="1" x14ac:dyDescent="0.35">
      <c r="A6" s="3"/>
      <c r="B6" s="3">
        <v>3</v>
      </c>
      <c r="C6" s="4">
        <v>13.1</v>
      </c>
      <c r="D6" s="3">
        <v>3</v>
      </c>
      <c r="E6">
        <v>0</v>
      </c>
      <c r="F6">
        <v>0</v>
      </c>
      <c r="G6">
        <v>1</v>
      </c>
      <c r="H6">
        <v>13.412499999999998</v>
      </c>
      <c r="J6" t="s">
        <v>11</v>
      </c>
      <c r="K6">
        <f>SQRT(K7)</f>
        <v>0.99088520736138397</v>
      </c>
      <c r="M6" t="s">
        <v>12</v>
      </c>
      <c r="N6">
        <f>K10*LN(L15/K10)+2*(K14+1)</f>
        <v>-12.67836969874007</v>
      </c>
    </row>
    <row r="7" spans="1:16" x14ac:dyDescent="0.35">
      <c r="A7" s="3"/>
      <c r="B7" s="3">
        <v>4</v>
      </c>
      <c r="C7" s="4">
        <v>16</v>
      </c>
      <c r="D7" s="3">
        <v>4</v>
      </c>
      <c r="E7">
        <f>INDEX($L$4:$L$7,B7)</f>
        <v>0</v>
      </c>
      <c r="F7">
        <v>0</v>
      </c>
      <c r="G7">
        <v>0</v>
      </c>
      <c r="H7">
        <v>16.462499999999999</v>
      </c>
      <c r="J7" t="s">
        <v>13</v>
      </c>
      <c r="K7">
        <f>L14/L16</f>
        <v>0.98185349416761292</v>
      </c>
      <c r="M7" t="s">
        <v>14</v>
      </c>
      <c r="N7">
        <f>N6+2*(K14+2)*(K14+3)/(K10-K14-3)</f>
        <v>-3.3450363654067363</v>
      </c>
    </row>
    <row r="8" spans="1:16" x14ac:dyDescent="0.35">
      <c r="A8" s="3">
        <v>2013</v>
      </c>
      <c r="B8" s="3">
        <v>1</v>
      </c>
      <c r="C8" s="4">
        <v>13.6</v>
      </c>
      <c r="D8" s="3">
        <v>5</v>
      </c>
      <c r="E8">
        <v>1</v>
      </c>
      <c r="F8">
        <v>0</v>
      </c>
      <c r="G8">
        <v>0</v>
      </c>
      <c r="H8">
        <v>13.0375</v>
      </c>
      <c r="J8" t="s">
        <v>15</v>
      </c>
      <c r="K8">
        <f>1-(1-K7)*(K10-1)/(K10-K14-1)</f>
        <v>0.97525476477401762</v>
      </c>
      <c r="M8" s="5" t="s">
        <v>16</v>
      </c>
      <c r="N8" s="5">
        <f>K10*LN(L15/K10)+(K14+1)*LN(K10)</f>
        <v>-8.8154260875411641</v>
      </c>
    </row>
    <row r="9" spans="1:16" x14ac:dyDescent="0.35">
      <c r="A9" s="3"/>
      <c r="B9" s="3">
        <v>2</v>
      </c>
      <c r="C9" s="4">
        <v>12.2</v>
      </c>
      <c r="D9" s="3">
        <v>6</v>
      </c>
      <c r="E9">
        <v>0</v>
      </c>
      <c r="F9">
        <v>1</v>
      </c>
      <c r="G9">
        <v>0</v>
      </c>
      <c r="H9">
        <v>11.837499999999997</v>
      </c>
      <c r="J9" t="s">
        <v>17</v>
      </c>
      <c r="K9">
        <f>SQRT(M15)</f>
        <v>0.59371710435188696</v>
      </c>
    </row>
    <row r="10" spans="1:16" x14ac:dyDescent="0.35">
      <c r="A10" s="3"/>
      <c r="B10" s="3">
        <v>3</v>
      </c>
      <c r="C10" s="4">
        <v>15.6</v>
      </c>
      <c r="D10" s="3">
        <v>7</v>
      </c>
      <c r="E10">
        <v>0</v>
      </c>
      <c r="F10">
        <v>0</v>
      </c>
      <c r="G10">
        <v>1</v>
      </c>
      <c r="H10">
        <v>15.637499999999999</v>
      </c>
      <c r="J10" s="5" t="s">
        <v>18</v>
      </c>
      <c r="K10" s="5">
        <f>COUNT(C4:C19)</f>
        <v>16</v>
      </c>
    </row>
    <row r="11" spans="1:16" x14ac:dyDescent="0.35">
      <c r="A11" s="3"/>
      <c r="B11" s="3">
        <v>4</v>
      </c>
      <c r="C11" s="4">
        <v>19.399999999999999</v>
      </c>
      <c r="D11" s="3">
        <v>8</v>
      </c>
      <c r="E11">
        <f>INDEX($L$4:$L$7,B11)</f>
        <v>0</v>
      </c>
      <c r="F11">
        <v>0</v>
      </c>
      <c r="G11">
        <v>0</v>
      </c>
      <c r="H11">
        <v>18.6875</v>
      </c>
    </row>
    <row r="12" spans="1:16" ht="15" thickBot="1" x14ac:dyDescent="0.4">
      <c r="A12" s="3">
        <v>2014</v>
      </c>
      <c r="B12" s="3">
        <v>1</v>
      </c>
      <c r="C12" s="4">
        <v>15.9</v>
      </c>
      <c r="D12" s="3">
        <v>9</v>
      </c>
      <c r="E12">
        <v>1</v>
      </c>
      <c r="F12">
        <v>0</v>
      </c>
      <c r="G12">
        <v>0</v>
      </c>
      <c r="H12">
        <v>15.262500000000001</v>
      </c>
      <c r="J12" t="s">
        <v>19</v>
      </c>
      <c r="N12" s="3" t="s">
        <v>20</v>
      </c>
      <c r="O12" s="3">
        <v>0.05</v>
      </c>
    </row>
    <row r="13" spans="1:16" ht="15" thickTop="1" x14ac:dyDescent="0.35">
      <c r="A13" s="3"/>
      <c r="B13" s="3">
        <v>2</v>
      </c>
      <c r="C13" s="4">
        <v>14.7</v>
      </c>
      <c r="D13" s="3">
        <v>10</v>
      </c>
      <c r="E13">
        <v>0</v>
      </c>
      <c r="F13">
        <v>1</v>
      </c>
      <c r="G13">
        <v>0</v>
      </c>
      <c r="H13">
        <v>14.062499999999998</v>
      </c>
      <c r="J13" s="9"/>
      <c r="K13" s="9" t="s">
        <v>21</v>
      </c>
      <c r="L13" s="9" t="s">
        <v>22</v>
      </c>
      <c r="M13" s="9" t="s">
        <v>23</v>
      </c>
      <c r="N13" s="9" t="s">
        <v>24</v>
      </c>
      <c r="O13" s="9" t="s">
        <v>25</v>
      </c>
      <c r="P13" s="9" t="s">
        <v>26</v>
      </c>
    </row>
    <row r="14" spans="1:16" x14ac:dyDescent="0.35">
      <c r="A14" s="3"/>
      <c r="B14" s="3">
        <v>3</v>
      </c>
      <c r="C14" s="4">
        <v>18.3</v>
      </c>
      <c r="D14" s="3">
        <v>11</v>
      </c>
      <c r="E14">
        <v>0</v>
      </c>
      <c r="F14">
        <v>0</v>
      </c>
      <c r="G14">
        <v>1</v>
      </c>
      <c r="H14">
        <v>17.862500000000001</v>
      </c>
      <c r="J14" t="s">
        <v>27</v>
      </c>
      <c r="K14">
        <f>COUNT(D4:G4)</f>
        <v>4</v>
      </c>
      <c r="L14">
        <f>DEVSQ(MMULT([3]!DEsign(D4:G19),K19:K23))</f>
        <v>209.80000000000015</v>
      </c>
      <c r="M14">
        <f>L14/K14</f>
        <v>52.450000000000038</v>
      </c>
      <c r="N14">
        <f>M14/M15</f>
        <v>148.79432624113932</v>
      </c>
      <c r="O14">
        <f>FDIST(N14,K14,K15)</f>
        <v>1.6965033540894735E-9</v>
      </c>
      <c r="P14" s="3" t="str">
        <f>IF(O14&lt;O12,"yes","no")</f>
        <v>yes</v>
      </c>
    </row>
    <row r="15" spans="1:16" x14ac:dyDescent="0.35">
      <c r="A15" s="3"/>
      <c r="B15" s="3">
        <v>4</v>
      </c>
      <c r="C15" s="4">
        <v>20.5</v>
      </c>
      <c r="D15" s="3">
        <v>12</v>
      </c>
      <c r="E15">
        <f>INDEX($L$4:$L$7,B15)</f>
        <v>0</v>
      </c>
      <c r="F15">
        <v>0</v>
      </c>
      <c r="G15">
        <v>0</v>
      </c>
      <c r="H15">
        <v>20.912500000000001</v>
      </c>
      <c r="J15" t="s">
        <v>28</v>
      </c>
      <c r="K15">
        <f>K16-K14</f>
        <v>11</v>
      </c>
      <c r="L15">
        <f>L16-L14</f>
        <v>3.877499999999884</v>
      </c>
      <c r="M15">
        <f>L15/K15</f>
        <v>0.35249999999998943</v>
      </c>
    </row>
    <row r="16" spans="1:16" x14ac:dyDescent="0.35">
      <c r="A16" s="3">
        <v>2015</v>
      </c>
      <c r="B16" s="3">
        <v>1</v>
      </c>
      <c r="C16" s="4">
        <v>16.600000000000001</v>
      </c>
      <c r="D16" s="3">
        <v>13</v>
      </c>
      <c r="E16">
        <v>1</v>
      </c>
      <c r="F16">
        <v>0</v>
      </c>
      <c r="G16">
        <v>0</v>
      </c>
      <c r="H16">
        <v>17.487500000000001</v>
      </c>
      <c r="J16" s="5" t="s">
        <v>29</v>
      </c>
      <c r="K16" s="5">
        <f>K10-1</f>
        <v>15</v>
      </c>
      <c r="L16" s="5">
        <f>DEVSQ(C4:C19)</f>
        <v>213.67750000000004</v>
      </c>
      <c r="M16" s="5"/>
      <c r="N16" s="5"/>
      <c r="O16" s="5"/>
      <c r="P16" s="5"/>
    </row>
    <row r="17" spans="1:17" ht="15" thickBot="1" x14ac:dyDescent="0.4">
      <c r="A17" s="3"/>
      <c r="B17" s="3">
        <v>2</v>
      </c>
      <c r="C17" s="4">
        <v>15.7</v>
      </c>
      <c r="D17" s="3">
        <v>14</v>
      </c>
      <c r="E17">
        <v>0</v>
      </c>
      <c r="F17">
        <v>1</v>
      </c>
      <c r="G17">
        <v>0</v>
      </c>
      <c r="H17">
        <v>16.287499999999998</v>
      </c>
    </row>
    <row r="18" spans="1:17" ht="15" thickTop="1" x14ac:dyDescent="0.35">
      <c r="A18" s="3"/>
      <c r="B18" s="3">
        <v>3</v>
      </c>
      <c r="C18" s="4">
        <v>20</v>
      </c>
      <c r="D18" s="3">
        <v>15</v>
      </c>
      <c r="E18">
        <v>0</v>
      </c>
      <c r="F18">
        <v>0</v>
      </c>
      <c r="G18">
        <v>1</v>
      </c>
      <c r="H18">
        <v>20.087500000000002</v>
      </c>
      <c r="J18" s="9"/>
      <c r="K18" s="9" t="s">
        <v>30</v>
      </c>
      <c r="L18" s="9" t="s">
        <v>31</v>
      </c>
      <c r="M18" s="9" t="s">
        <v>32</v>
      </c>
      <c r="N18" s="9" t="s">
        <v>25</v>
      </c>
      <c r="O18" s="9" t="s">
        <v>33</v>
      </c>
      <c r="P18" s="9" t="s">
        <v>34</v>
      </c>
      <c r="Q18" s="9" t="s">
        <v>35</v>
      </c>
    </row>
    <row r="19" spans="1:17" x14ac:dyDescent="0.35">
      <c r="A19" s="10"/>
      <c r="B19" s="10">
        <v>4</v>
      </c>
      <c r="C19" s="11">
        <v>23.3</v>
      </c>
      <c r="D19" s="10">
        <v>16</v>
      </c>
      <c r="E19" s="5">
        <f>INDEX($L$4:$L$7,B19)</f>
        <v>0</v>
      </c>
      <c r="F19" s="5">
        <v>0</v>
      </c>
      <c r="G19" s="5">
        <v>0</v>
      </c>
      <c r="H19" s="5">
        <v>23.137500000000003</v>
      </c>
      <c r="J19" t="s">
        <v>36</v>
      </c>
      <c r="K19">
        <f t="array" ref="K19:L23">[3]!RegCoeff(D4:G19,C4:C19)</f>
        <v>14.237499999999997</v>
      </c>
      <c r="L19">
        <v>0.44528782826392155</v>
      </c>
      <c r="M19">
        <f>K19/L19</f>
        <v>31.973701269825522</v>
      </c>
      <c r="N19">
        <f>TDIST(ABS(M19),$K$15,2)</f>
        <v>3.3321596281959121E-12</v>
      </c>
      <c r="O19">
        <f>K19-TINV(O$12,$K$15)*L19</f>
        <v>13.257428098021672</v>
      </c>
      <c r="P19">
        <f>K19+TINV(O$12,$K$15)*L19</f>
        <v>15.217571901978323</v>
      </c>
    </row>
    <row r="20" spans="1:17" x14ac:dyDescent="0.35">
      <c r="A20" s="12">
        <v>2016</v>
      </c>
      <c r="B20" s="12">
        <v>1</v>
      </c>
      <c r="C20" s="6"/>
      <c r="D20" s="12">
        <v>17</v>
      </c>
      <c r="E20" s="6">
        <v>1</v>
      </c>
      <c r="F20" s="6">
        <v>0</v>
      </c>
      <c r="G20" s="6">
        <v>0</v>
      </c>
      <c r="H20" s="6">
        <v>19.712500000000002</v>
      </c>
      <c r="J20" t="str">
        <f t="array" ref="J20:J23">TRANSPOSE(D3:G3)</f>
        <v>t</v>
      </c>
      <c r="K20">
        <v>0.55625000000000024</v>
      </c>
      <c r="L20">
        <v>3.3189795118379363E-2</v>
      </c>
      <c r="M20">
        <f>K20/L20</f>
        <v>16.759669591692301</v>
      </c>
      <c r="N20">
        <f>TDIST(ABS(M20),$K$15,2)</f>
        <v>3.5270436991651673E-9</v>
      </c>
      <c r="O20">
        <f>K20-TINV(O$12,$K$15)*L20</f>
        <v>0.4831997534779654</v>
      </c>
      <c r="P20">
        <f>K20+TINV(O$12,$K$15)*L20</f>
        <v>0.62930024652203509</v>
      </c>
      <c r="Q20">
        <f>[3]!VIF(D4:G19,1)</f>
        <v>1.0625</v>
      </c>
    </row>
    <row r="21" spans="1:17" x14ac:dyDescent="0.35">
      <c r="A21" s="12"/>
      <c r="B21" s="12">
        <v>2</v>
      </c>
      <c r="C21" s="6"/>
      <c r="D21" s="12">
        <v>18</v>
      </c>
      <c r="E21" s="6">
        <v>0</v>
      </c>
      <c r="F21" s="6">
        <v>1</v>
      </c>
      <c r="G21" s="6">
        <v>0</v>
      </c>
      <c r="H21" s="6">
        <v>18.512499999999999</v>
      </c>
      <c r="J21" t="str">
        <v>Q1</v>
      </c>
      <c r="K21">
        <v>-3.9812499999999988</v>
      </c>
      <c r="L21">
        <v>0.43146733653893177</v>
      </c>
      <c r="M21">
        <f>K21/L21</f>
        <v>-9.2272338201451927</v>
      </c>
      <c r="N21">
        <f>TDIST(ABS(M21),$K$15,2)</f>
        <v>1.6412839425257223E-6</v>
      </c>
      <c r="O21">
        <f>K21-TINV(O$12,$K$15)*L21</f>
        <v>-4.9309032047864525</v>
      </c>
      <c r="P21">
        <f>K21+TINV(O$12,$K$15)*L21</f>
        <v>-3.0315967952135452</v>
      </c>
      <c r="Q21">
        <f>[3]!VIF(D4:G19,2)</f>
        <v>1.5843749999999996</v>
      </c>
    </row>
    <row r="22" spans="1:17" x14ac:dyDescent="0.35">
      <c r="A22" s="12"/>
      <c r="B22" s="12">
        <v>3</v>
      </c>
      <c r="C22" s="6"/>
      <c r="D22" s="12">
        <v>19</v>
      </c>
      <c r="E22" s="6">
        <v>0</v>
      </c>
      <c r="F22" s="6">
        <v>0</v>
      </c>
      <c r="G22" s="6">
        <v>1</v>
      </c>
      <c r="H22" s="6">
        <v>22.312500000000004</v>
      </c>
      <c r="J22" t="str">
        <v>Q2</v>
      </c>
      <c r="K22">
        <v>-5.7375000000000016</v>
      </c>
      <c r="L22">
        <v>0.4250367631158507</v>
      </c>
      <c r="M22">
        <f>K22/L22</f>
        <v>-13.49883233144271</v>
      </c>
      <c r="N22">
        <f>TDIST(ABS(M22),$K$15,2)</f>
        <v>3.4396148575958681E-8</v>
      </c>
      <c r="O22">
        <f>K22-TINV(O$12,$K$15)*L22</f>
        <v>-6.6729996081113736</v>
      </c>
      <c r="P22">
        <f>K22+TINV(O$12,$K$15)*L22</f>
        <v>-4.8020003918886296</v>
      </c>
      <c r="Q22">
        <f>[3]!VIF(D4:G19,3)</f>
        <v>1.5374999999999994</v>
      </c>
    </row>
    <row r="23" spans="1:17" x14ac:dyDescent="0.35">
      <c r="A23" s="13"/>
      <c r="B23" s="13">
        <v>4</v>
      </c>
      <c r="C23" s="7"/>
      <c r="D23" s="13">
        <v>20</v>
      </c>
      <c r="E23" s="7">
        <f>INDEX($L$4:$L$7,B23)</f>
        <v>0</v>
      </c>
      <c r="F23" s="7">
        <v>0</v>
      </c>
      <c r="G23" s="7">
        <v>0</v>
      </c>
      <c r="H23" s="7">
        <v>25.362500000000004</v>
      </c>
      <c r="J23" s="5" t="str">
        <v>Q3</v>
      </c>
      <c r="K23" s="5">
        <v>-2.493749999999999</v>
      </c>
      <c r="L23" s="5">
        <v>0.42113128891118951</v>
      </c>
      <c r="M23" s="5">
        <f>K23/L23</f>
        <v>-5.9215500383442059</v>
      </c>
      <c r="N23" s="5">
        <f>TDIST(ABS(M23),$K$15,2)</f>
        <v>9.9948519295918494E-5</v>
      </c>
      <c r="O23" s="5">
        <f>K23-TINV(O$12,$K$15)*L23</f>
        <v>-3.4206537173437912</v>
      </c>
      <c r="P23" s="5">
        <f>K23+TINV(O$12,$K$15)*L23</f>
        <v>-1.5668462826562066</v>
      </c>
      <c r="Q23" s="5">
        <f>[3]!VIF(D4:G19,4)</f>
        <v>1.5093750000000006</v>
      </c>
    </row>
    <row r="25" spans="1:17" x14ac:dyDescent="0.35">
      <c r="E25" s="14" t="s">
        <v>37</v>
      </c>
      <c r="F25" s="14" t="s">
        <v>38</v>
      </c>
    </row>
    <row r="26" spans="1:17" x14ac:dyDescent="0.35">
      <c r="E26" s="15">
        <f>SUMPRODUCT(ABS(C4:C19-H4:H19))/COUNT(C4:C19)</f>
        <v>0.43906249999999958</v>
      </c>
      <c r="F26" s="16">
        <f>SUMXMY2(C4:C19,H4:H19)/COUNT(C4:C19)</f>
        <v>0.24234374999999955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Season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2026-01-10T11:23:23Z</dcterms:created>
  <dcterms:modified xsi:type="dcterms:W3CDTF">2026-01-10T11:25:27Z</dcterms:modified>
</cp:coreProperties>
</file>