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1" documentId="8_{DACC9863-F6BF-4444-9C36-651838F6F3E0}" xr6:coauthVersionLast="47" xr6:coauthVersionMax="47" xr10:uidLastSave="{968B8637-D075-40E7-908C-79ECE05665D7}"/>
  <bookViews>
    <workbookView xWindow="-110" yWindow="-110" windowWidth="19420" windowHeight="10300" xr2:uid="{300D1721-2BC6-4901-AB04-356F02E1599F}"/>
  </bookViews>
  <sheets>
    <sheet name="Title" sheetId="2" r:id="rId1"/>
    <sheet name="Ex 3" sheetId="1" r:id="rId2"/>
  </sheets>
  <externalReferences>
    <externalReference r:id="rId3"/>
    <externalReference r:id="rId4"/>
    <externalReference r:id="rId5"/>
  </externalReferences>
  <definedNames>
    <definedName name="r_0">[2]Sheet17!$A$3:$A$264</definedName>
    <definedName name="r_1">[2]Sheet17!$B$3:$B$264</definedName>
    <definedName name="r_2">[2]Sheet17!$C$3:$C$264</definedName>
    <definedName name="r_3">[2]Sheet17!$D$3:$D$264</definedName>
    <definedName name="r_4">[2]Sheet17!$E$3:$E$264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0" i="1" l="1" a="1"/>
  <c r="W21" i="1" s="1"/>
  <c r="E20" i="1" a="1"/>
  <c r="E21" i="1" s="1"/>
  <c r="P18" i="1"/>
  <c r="O18" i="1"/>
  <c r="N18" i="1"/>
  <c r="P17" i="1"/>
  <c r="O17" i="1"/>
  <c r="N17" i="1"/>
  <c r="X16" i="1"/>
  <c r="X15" i="1" s="1"/>
  <c r="P16" i="1"/>
  <c r="O16" i="1"/>
  <c r="N16" i="1"/>
  <c r="G16" i="1"/>
  <c r="P15" i="1"/>
  <c r="O15" i="1"/>
  <c r="N15" i="1"/>
  <c r="X14" i="1"/>
  <c r="P14" i="1"/>
  <c r="O14" i="1"/>
  <c r="N14" i="1"/>
  <c r="F14" i="1"/>
  <c r="P13" i="1"/>
  <c r="O13" i="1"/>
  <c r="N13" i="1"/>
  <c r="P12" i="1"/>
  <c r="O12" i="1"/>
  <c r="N12" i="1"/>
  <c r="P11" i="1"/>
  <c r="O11" i="1"/>
  <c r="N11" i="1"/>
  <c r="X10" i="1"/>
  <c r="P10" i="1"/>
  <c r="O10" i="1"/>
  <c r="N10" i="1"/>
  <c r="F10" i="1"/>
  <c r="F16" i="1" s="1"/>
  <c r="F15" i="1" s="1"/>
  <c r="P9" i="1"/>
  <c r="O9" i="1"/>
  <c r="N9" i="1"/>
  <c r="P8" i="1"/>
  <c r="O8" i="1"/>
  <c r="N8" i="1"/>
  <c r="P7" i="1"/>
  <c r="O7" i="1"/>
  <c r="N7" i="1"/>
  <c r="P6" i="1"/>
  <c r="O6" i="1"/>
  <c r="N6" i="1"/>
  <c r="Q4" i="1" s="1" a="1"/>
  <c r="P5" i="1"/>
  <c r="O5" i="1"/>
  <c r="N5" i="1"/>
  <c r="P4" i="1"/>
  <c r="O4" i="1"/>
  <c r="N4" i="1"/>
  <c r="P3" i="1"/>
  <c r="O3" i="1"/>
  <c r="N3" i="1"/>
  <c r="AD21" i="1" a="1"/>
  <c r="AD20" i="1" a="1"/>
  <c r="L20" i="1"/>
  <c r="L21" i="1"/>
  <c r="F19" i="1" a="1"/>
  <c r="X23" i="1"/>
  <c r="X19" i="1" a="1"/>
  <c r="Y20" i="1" l="1"/>
  <c r="AB20" i="1" s="1"/>
  <c r="Y21" i="1"/>
  <c r="X21" i="1"/>
  <c r="X20" i="1"/>
  <c r="Y19" i="1"/>
  <c r="X19" i="1"/>
  <c r="G21" i="1"/>
  <c r="F21" i="1"/>
  <c r="H21" i="1" s="1"/>
  <c r="I21" i="1" s="1"/>
  <c r="G20" i="1"/>
  <c r="F20" i="1"/>
  <c r="H20" i="1" s="1"/>
  <c r="I20" i="1" s="1"/>
  <c r="G19" i="1"/>
  <c r="F19" i="1"/>
  <c r="AD20" i="1"/>
  <c r="AD21" i="1"/>
  <c r="R9" i="1"/>
  <c r="S9" i="1" s="1"/>
  <c r="R10" i="1"/>
  <c r="S10" i="1" s="1"/>
  <c r="AC21" i="1"/>
  <c r="R7" i="1"/>
  <c r="S7" i="1" s="1"/>
  <c r="Q7" i="1"/>
  <c r="Q18" i="1"/>
  <c r="R18" i="1" s="1"/>
  <c r="S18" i="1" s="1"/>
  <c r="Q6" i="1"/>
  <c r="R6" i="1" s="1"/>
  <c r="S6" i="1" s="1"/>
  <c r="Q15" i="1"/>
  <c r="R15" i="1" s="1"/>
  <c r="S15" i="1" s="1"/>
  <c r="Q17" i="1"/>
  <c r="R17" i="1" s="1"/>
  <c r="S17" i="1" s="1"/>
  <c r="Q5" i="1"/>
  <c r="R5" i="1" s="1"/>
  <c r="S5" i="1" s="1"/>
  <c r="Q16" i="1"/>
  <c r="R16" i="1" s="1"/>
  <c r="S16" i="1" s="1"/>
  <c r="Q4" i="1"/>
  <c r="R4" i="1" s="1"/>
  <c r="S4" i="1" s="1"/>
  <c r="Q10" i="1"/>
  <c r="Q9" i="1"/>
  <c r="Q14" i="1"/>
  <c r="R14" i="1" s="1"/>
  <c r="S14" i="1" s="1"/>
  <c r="Q13" i="1"/>
  <c r="Q12" i="1"/>
  <c r="R12" i="1" s="1"/>
  <c r="S12" i="1" s="1"/>
  <c r="Q11" i="1"/>
  <c r="R11" i="1" s="1"/>
  <c r="S11" i="1" s="1"/>
  <c r="Q8" i="1"/>
  <c r="R8" i="1" s="1"/>
  <c r="S8" i="1" s="1"/>
  <c r="R13" i="1"/>
  <c r="S13" i="1" s="1"/>
  <c r="W20" i="1"/>
  <c r="Z21" i="1"/>
  <c r="AA21" i="1" s="1"/>
  <c r="AB21" i="1"/>
  <c r="E20" i="1"/>
  <c r="Y14" i="1" a="1"/>
  <c r="G14" i="1"/>
  <c r="Y14" i="1" l="1"/>
  <c r="K20" i="1"/>
  <c r="Z20" i="1"/>
  <c r="AA20" i="1" s="1"/>
  <c r="J20" i="1"/>
  <c r="AC20" i="1"/>
  <c r="J21" i="1"/>
  <c r="K21" i="1"/>
  <c r="K19" i="1"/>
  <c r="J19" i="1"/>
  <c r="H19" i="1"/>
  <c r="I19" i="1" s="1"/>
  <c r="Z19" i="1"/>
  <c r="AA19" i="1" s="1"/>
  <c r="AC19" i="1"/>
  <c r="AB19" i="1"/>
  <c r="T4" i="1" a="1"/>
  <c r="T13" i="1" l="1"/>
  <c r="U13" i="1" s="1"/>
  <c r="T12" i="1"/>
  <c r="U12" i="1" s="1"/>
  <c r="T10" i="1"/>
  <c r="U10" i="1" s="1"/>
  <c r="T9" i="1"/>
  <c r="U9" i="1" s="1"/>
  <c r="T4" i="1"/>
  <c r="U4" i="1" s="1"/>
  <c r="T11" i="1"/>
  <c r="U11" i="1" s="1"/>
  <c r="T17" i="1"/>
  <c r="U17" i="1" s="1"/>
  <c r="T5" i="1"/>
  <c r="U5" i="1" s="1"/>
  <c r="T16" i="1"/>
  <c r="U16" i="1" s="1"/>
  <c r="T15" i="1"/>
  <c r="U15" i="1" s="1"/>
  <c r="T8" i="1"/>
  <c r="U8" i="1" s="1"/>
  <c r="T7" i="1"/>
  <c r="U7" i="1" s="1"/>
  <c r="T18" i="1"/>
  <c r="U18" i="1" s="1"/>
  <c r="T6" i="1"/>
  <c r="U6" i="1" s="1"/>
  <c r="T14" i="1"/>
  <c r="U14" i="1" s="1"/>
  <c r="F7" i="1"/>
  <c r="H14" i="1"/>
  <c r="G15" i="1"/>
  <c r="H15" i="1" l="1"/>
  <c r="F9" i="1" s="1"/>
  <c r="I6" i="1"/>
  <c r="I7" i="1" s="1"/>
  <c r="I8" i="1"/>
  <c r="Y16" i="1"/>
  <c r="Y15" i="1" s="1"/>
  <c r="F6" i="1"/>
  <c r="F8" i="1"/>
  <c r="Z14" i="1" l="1"/>
  <c r="X7" i="1"/>
  <c r="Z15" i="1"/>
  <c r="X9" i="1" s="1"/>
  <c r="AA8" i="1"/>
  <c r="AA6" i="1"/>
  <c r="AA7" i="1" s="1"/>
  <c r="I14" i="1"/>
  <c r="J14" i="1" s="1"/>
  <c r="K14" i="1" s="1"/>
  <c r="X6" i="1" l="1"/>
  <c r="X8" i="1"/>
  <c r="AA14" i="1"/>
  <c r="AB14" i="1" s="1"/>
  <c r="AC14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<sst xmlns="http://schemas.openxmlformats.org/spreadsheetml/2006/main" count="71" uniqueCount="43">
  <si>
    <t>Weighted Regression</t>
  </si>
  <si>
    <t>Regression Analysis</t>
  </si>
  <si>
    <t>Pred</t>
  </si>
  <si>
    <t>Res</t>
  </si>
  <si>
    <t>Abs Res</t>
  </si>
  <si>
    <t>Pred Res</t>
  </si>
  <si>
    <t>Weight</t>
  </si>
  <si>
    <t>Weighted Regression Analysis</t>
  </si>
  <si>
    <t>Color</t>
  </si>
  <si>
    <t>Quality</t>
  </si>
  <si>
    <t>Price</t>
  </si>
  <si>
    <t>OVERALL FIT</t>
  </si>
  <si>
    <t>Multiple R</t>
  </si>
  <si>
    <t>AIC</t>
  </si>
  <si>
    <t>R Square</t>
  </si>
  <si>
    <t>AICc</t>
  </si>
  <si>
    <t>Adjusted R Square</t>
  </si>
  <si>
    <t>SBC</t>
  </si>
  <si>
    <t>BSC</t>
  </si>
  <si>
    <t>Standard Error</t>
  </si>
  <si>
    <t>Observations</t>
  </si>
  <si>
    <t>ANOVA</t>
  </si>
  <si>
    <t>Alpha</t>
  </si>
  <si>
    <t>df</t>
  </si>
  <si>
    <t>SS</t>
  </si>
  <si>
    <t>MS</t>
  </si>
  <si>
    <t>F</t>
  </si>
  <si>
    <t>p-value</t>
  </si>
  <si>
    <t>sig</t>
  </si>
  <si>
    <t>Regression</t>
  </si>
  <si>
    <t>Residual</t>
  </si>
  <si>
    <t>Total</t>
  </si>
  <si>
    <t>coeff</t>
  </si>
  <si>
    <t>std err</t>
  </si>
  <si>
    <t>t stat</t>
  </si>
  <si>
    <t>lower</t>
  </si>
  <si>
    <t>upper</t>
  </si>
  <si>
    <t>vif</t>
  </si>
  <si>
    <t>Intercept</t>
  </si>
  <si>
    <t>Real Statistics Using Excel</t>
  </si>
  <si>
    <t>Updated</t>
  </si>
  <si>
    <t>Copyright © 2013 - 2026 Charles Zaiontz</t>
  </si>
  <si>
    <t>Real Statistics Support for WLS regression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</si>
</sst>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Border="1"/>
    <xf numFmtId="0" fontId="0" fillId="0" borderId="2" xfId="0" applyBorder="1"/>
    <xf numFmtId="0" fontId="2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15" fontId="0" fillId="0" borderId="0" xfId="0" applyNumberForma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Residual Plot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'Ex 3'!$R$3</c:f>
              <c:strCache>
                <c:ptCount val="1"/>
                <c:pt idx="0">
                  <c:v>Res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'Ex 3'!$Q$4:$Q$18</c:f>
              <c:numCache>
                <c:formatCode>General</c:formatCode>
                <c:ptCount val="15"/>
                <c:pt idx="0">
                  <c:v>55.026564295334694</c:v>
                </c:pt>
                <c:pt idx="1">
                  <c:v>42.689423742742569</c:v>
                </c:pt>
                <c:pt idx="2">
                  <c:v>56.567118409338214</c:v>
                </c:pt>
                <c:pt idx="3">
                  <c:v>44.619881750458461</c:v>
                </c:pt>
                <c:pt idx="4">
                  <c:v>57.340572376480964</c:v>
                </c:pt>
                <c:pt idx="5">
                  <c:v>41.14886962873905</c:v>
                </c:pt>
                <c:pt idx="6">
                  <c:v>22.259608726420481</c:v>
                </c:pt>
                <c:pt idx="7">
                  <c:v>63.892692726207414</c:v>
                </c:pt>
                <c:pt idx="8">
                  <c:v>19.562050571843827</c:v>
                </c:pt>
                <c:pt idx="9">
                  <c:v>24.957166880997136</c:v>
                </c:pt>
                <c:pt idx="10">
                  <c:v>20.719054612416969</c:v>
                </c:pt>
                <c:pt idx="11">
                  <c:v>33.823295311869856</c:v>
                </c:pt>
                <c:pt idx="12">
                  <c:v>67.747254921357211</c:v>
                </c:pt>
                <c:pt idx="13">
                  <c:v>46.160435864461974</c:v>
                </c:pt>
                <c:pt idx="14">
                  <c:v>53.486010181331174</c:v>
                </c:pt>
              </c:numCache>
            </c:numRef>
          </c:xVal>
          <c:yVal>
            <c:numRef>
              <c:f>'Ex 3'!$R$4:$R$18</c:f>
              <c:numCache>
                <c:formatCode>General</c:formatCode>
                <c:ptCount val="15"/>
                <c:pt idx="0">
                  <c:v>9.9734357046653059</c:v>
                </c:pt>
                <c:pt idx="1">
                  <c:v>-4.6894237427425693</c:v>
                </c:pt>
                <c:pt idx="2">
                  <c:v>-5.5671184093382138</c:v>
                </c:pt>
                <c:pt idx="3">
                  <c:v>-6.6198817504584611</c:v>
                </c:pt>
                <c:pt idx="4">
                  <c:v>-2.3405723764809636</c:v>
                </c:pt>
                <c:pt idx="5">
                  <c:v>1.8511303712609504</c:v>
                </c:pt>
                <c:pt idx="6">
                  <c:v>-2.2596087264204812</c:v>
                </c:pt>
                <c:pt idx="7">
                  <c:v>1.1073072737925855</c:v>
                </c:pt>
                <c:pt idx="8">
                  <c:v>0.43794942815617333</c:v>
                </c:pt>
                <c:pt idx="9">
                  <c:v>1.0428331190028644</c:v>
                </c:pt>
                <c:pt idx="10">
                  <c:v>4.2809453875830314</c:v>
                </c:pt>
                <c:pt idx="11">
                  <c:v>-0.82329531186985605</c:v>
                </c:pt>
                <c:pt idx="12">
                  <c:v>3.2527450786427892</c:v>
                </c:pt>
                <c:pt idx="13">
                  <c:v>4.8395641355380263</c:v>
                </c:pt>
                <c:pt idx="14">
                  <c:v>-4.4860101813311744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41A-4BCC-A753-24F33620E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701608"/>
        <c:axId val="481692984"/>
      </c:scatterChart>
      <c:valAx>
        <c:axId val="481701608"/>
        <c:scaling>
          <c:orientation val="minMax"/>
          <c:max val="80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Forecasted Price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1692984"/>
        <c:crosses val="autoZero"/>
        <c:crossBetween val="midCat"/>
      </c:valAx>
      <c:valAx>
        <c:axId val="481692984"/>
        <c:scaling>
          <c:orientation val="minMax"/>
          <c:max val="12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Residuals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17016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304800</xdr:colOff>
      <xdr:row>19</xdr:row>
      <xdr:rowOff>185737</xdr:rowOff>
    </xdr:from>
    <xdr:to>
      <xdr:col>20</xdr:col>
      <xdr:colOff>0</xdr:colOff>
      <xdr:row>34</xdr:row>
      <xdr:rowOff>71437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6FA93E0-EB24-4739-BDE3-D535461E63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Examples%20Regression%201%2018%20April%202022.xlsx" TargetMode="External"/><Relationship Id="rId1" Type="http://schemas.openxmlformats.org/officeDocument/2006/relationships/externalLinkPath" Target="/38f5cd2f1f925cfd/Documenti/A%20Real%20Statistics%202020/Examples/Real%20Statistics%20Examples%20Regression%201%2018%20April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arles\AppData\Roaming\Microsoft\AddIns\XRealStatsX.xlam" TargetMode="External"/><Relationship Id="rId1" Type="http://schemas.openxmlformats.org/officeDocument/2006/relationships/externalLinkPath" Target="file:///C:\Users\Charles\AppData\Roaming\Microsoft\AddIns\XRealStatsX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Reg 1"/>
      <sheetName val="Reg 2"/>
      <sheetName val="Reg 3"/>
      <sheetName val="Reg 4"/>
      <sheetName val="Reg 5"/>
      <sheetName val="Reg 6"/>
      <sheetName val="Reg 7"/>
      <sheetName val="Exp Reg"/>
      <sheetName val="Exp Reg1"/>
      <sheetName val="Exp Reg2"/>
      <sheetName val="Exp Reg3"/>
      <sheetName val="Exp Reg4"/>
      <sheetName val="Exp Reg5"/>
      <sheetName val="Pow Reg"/>
      <sheetName val="Reg T 1"/>
      <sheetName val="Reg T 1A"/>
      <sheetName val="Reg T 2"/>
      <sheetName val="Reg T 2A"/>
      <sheetName val="TReg"/>
      <sheetName val="Dem 1"/>
      <sheetName val="Dem 2"/>
      <sheetName val="Dem 3"/>
      <sheetName val="Dem 4"/>
      <sheetName val="Dem 5"/>
      <sheetName val="Dem 6"/>
      <sheetName val="Dem 7"/>
      <sheetName val="Dem 8"/>
      <sheetName val="PB"/>
      <sheetName val="Mult Reg 1"/>
      <sheetName val="Mult Reg 2"/>
      <sheetName val="Mult Reg 2A"/>
      <sheetName val="Mult Reg 2B"/>
      <sheetName val="Mult Reg 3"/>
      <sheetName val="Mult Reg 4"/>
      <sheetName val="Mult Reg 4A"/>
      <sheetName val="Mult Reg 5"/>
      <sheetName val="Mult Reg 5A"/>
      <sheetName val="Mult Reg 5B"/>
      <sheetName val="Mult Reg 5C"/>
      <sheetName val="Mult Reg 6"/>
      <sheetName val="Mult Reg 6A"/>
      <sheetName val="Mult Reg 6B"/>
      <sheetName val="Mult Reg 6C"/>
      <sheetName val="Mult Reg 7"/>
      <sheetName val="Mult Reg 8"/>
      <sheetName val="Mult Reg 8a"/>
      <sheetName val="Stepwise 1"/>
      <sheetName val="Stepwise 2"/>
      <sheetName val="Season"/>
      <sheetName val="Shapely"/>
      <sheetName val="MCorr"/>
      <sheetName val="Mult Reg Pow"/>
      <sheetName val="Mult Reg Pow 1"/>
      <sheetName val="Mult Reg Pow 2"/>
      <sheetName val="Poly Reg"/>
      <sheetName val="Poly Reg 1"/>
      <sheetName val="Poly Reg 2"/>
      <sheetName val="Poly Reg 3"/>
      <sheetName val="Poly Reg 4"/>
      <sheetName val="Log Reg"/>
      <sheetName val="Interaction Reg"/>
      <sheetName val="Slopes"/>
      <sheetName val="LAD 1"/>
      <sheetName val="LAD 2"/>
      <sheetName val="LAD 3"/>
      <sheetName val="LAD 4"/>
      <sheetName val="LAD 5"/>
      <sheetName val="Lp Reg A"/>
      <sheetName val="Lp Reg B"/>
      <sheetName val="TLS Reg"/>
      <sheetName val="Reg Anova 1"/>
      <sheetName val="Reg Anova 2"/>
      <sheetName val="Reg Anova 3"/>
      <sheetName val="Reg Anova 4"/>
      <sheetName val="Reg Anova 5"/>
      <sheetName val="Reg An3.1"/>
      <sheetName val="Reg An3.2"/>
      <sheetName val="ANOVA Match 2.5"/>
      <sheetName val="ANOVA Match 2.5A"/>
      <sheetName val="ANOVA Match 2.5B"/>
      <sheetName val="Res 1"/>
      <sheetName val="Res 2"/>
      <sheetName val="Res 3"/>
      <sheetName val="Res 4"/>
      <sheetName val="Cooks 1"/>
      <sheetName val="Cooks 2"/>
      <sheetName val="Cooks 3"/>
      <sheetName val="Reg No Const"/>
      <sheetName val="Reg No Const 1"/>
      <sheetName val="Heter 1"/>
      <sheetName val="Heter 2"/>
      <sheetName val="Heter 3"/>
      <sheetName val="Heter 4"/>
      <sheetName val="Heter 5"/>
      <sheetName val="WReg A"/>
      <sheetName val="WReg B"/>
      <sheetName val="WReg C"/>
      <sheetName val="WReg D"/>
      <sheetName val="WReg E"/>
      <sheetName val="WReg B0"/>
      <sheetName val="WReg0"/>
      <sheetName val="Robust"/>
      <sheetName val="Autocorr"/>
      <sheetName val="Runs"/>
      <sheetName val="Durbin"/>
      <sheetName val="BG"/>
      <sheetName val="FGLS 1"/>
      <sheetName val="FGLS 2"/>
      <sheetName val="OC"/>
      <sheetName val="OC 1"/>
      <sheetName val="Newey"/>
      <sheetName val="Newey 1"/>
      <sheetName val="Collinearity"/>
      <sheetName val="VIF"/>
      <sheetName val="Ridge 1"/>
      <sheetName val="Ridge 2"/>
      <sheetName val="Ridge 3"/>
      <sheetName val="LASSO"/>
      <sheetName val="Med"/>
      <sheetName val="CV"/>
      <sheetName val="DW Table 1"/>
      <sheetName val="DW Table 2"/>
      <sheetName val="DW Table 3"/>
      <sheetName val="DW Table 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>
        <row r="3">
          <cell r="R3" t="str">
            <v>Res</v>
          </cell>
        </row>
        <row r="4">
          <cell r="Q4">
            <v>55.026564295334694</v>
          </cell>
          <cell r="R4">
            <v>9.9734357046653059</v>
          </cell>
        </row>
        <row r="5">
          <cell r="Q5">
            <v>42.689423742742569</v>
          </cell>
          <cell r="R5">
            <v>-4.6894237427425693</v>
          </cell>
        </row>
        <row r="6">
          <cell r="Q6">
            <v>56.567118409338214</v>
          </cell>
          <cell r="R6">
            <v>-5.5671184093382138</v>
          </cell>
        </row>
        <row r="7">
          <cell r="Q7">
            <v>44.619881750458461</v>
          </cell>
          <cell r="R7">
            <v>-6.6198817504584611</v>
          </cell>
        </row>
        <row r="8">
          <cell r="Q8">
            <v>57.340572376480964</v>
          </cell>
          <cell r="R8">
            <v>-2.3405723764809636</v>
          </cell>
        </row>
        <row r="9">
          <cell r="Q9">
            <v>41.14886962873905</v>
          </cell>
          <cell r="R9">
            <v>1.8511303712609504</v>
          </cell>
        </row>
        <row r="10">
          <cell r="Q10">
            <v>22.259608726420481</v>
          </cell>
          <cell r="R10">
            <v>-2.2596087264204812</v>
          </cell>
        </row>
        <row r="11">
          <cell r="Q11">
            <v>63.892692726207414</v>
          </cell>
          <cell r="R11">
            <v>1.1073072737925855</v>
          </cell>
        </row>
        <row r="12">
          <cell r="Q12">
            <v>19.562050571843827</v>
          </cell>
          <cell r="R12">
            <v>0.43794942815617333</v>
          </cell>
        </row>
        <row r="13">
          <cell r="Q13">
            <v>24.957166880997136</v>
          </cell>
          <cell r="R13">
            <v>1.0428331190028644</v>
          </cell>
        </row>
        <row r="14">
          <cell r="Q14">
            <v>20.719054612416969</v>
          </cell>
          <cell r="R14">
            <v>4.2809453875830314</v>
          </cell>
        </row>
        <row r="15">
          <cell r="Q15">
            <v>33.823295311869856</v>
          </cell>
          <cell r="R15">
            <v>-0.82329531186985605</v>
          </cell>
        </row>
        <row r="16">
          <cell r="Q16">
            <v>67.747254921357211</v>
          </cell>
          <cell r="R16">
            <v>3.2527450786427892</v>
          </cell>
        </row>
        <row r="17">
          <cell r="Q17">
            <v>46.160435864461974</v>
          </cell>
          <cell r="R17">
            <v>4.8395641355380263</v>
          </cell>
        </row>
        <row r="18">
          <cell r="Q18">
            <v>53.486010181331174</v>
          </cell>
          <cell r="R18">
            <v>-4.4860101813311744</v>
          </cell>
        </row>
      </sheetData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L4 2"/>
      <sheetName val="L8 2"/>
      <sheetName val="L8 42"/>
      <sheetName val="L9 3"/>
      <sheetName val="L12 2"/>
      <sheetName val="L16 2"/>
      <sheetName val="L16 4"/>
      <sheetName val="L16 42a"/>
      <sheetName val="L18 23"/>
      <sheetName val="L18 63"/>
      <sheetName val="L25 5"/>
      <sheetName val="L27 3"/>
      <sheetName val="L32 2"/>
      <sheetName val="L32 24"/>
      <sheetName val="L36 23a"/>
      <sheetName val="L36 23b"/>
      <sheetName val="L50 25"/>
      <sheetName val="L54 23"/>
      <sheetName val="L64 4"/>
      <sheetName val="T2"/>
      <sheetName val="T3"/>
      <sheetName val="T4"/>
      <sheetName val="Roy"/>
      <sheetName val="Pillai"/>
      <sheetName val="Wilk"/>
      <sheetName val="Hotel"/>
    </sheetNames>
    <definedNames>
      <definedName name="DEsign"/>
      <definedName name="RegCoeff"/>
      <definedName name="VIF"/>
      <definedName name="WRegCoeff"/>
      <definedName name="WRSquare"/>
      <definedName name="WVIF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0D5E5-66A0-4BD3-ABF0-F6D9D96B3FFD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39</v>
      </c>
    </row>
    <row r="2" spans="1:13" x14ac:dyDescent="0.35">
      <c r="A2" t="s">
        <v>42</v>
      </c>
    </row>
    <row r="4" spans="1:13" x14ac:dyDescent="0.35">
      <c r="A4" t="s">
        <v>40</v>
      </c>
      <c r="B4" s="10">
        <v>46032</v>
      </c>
    </row>
    <row r="6" spans="1:13" x14ac:dyDescent="0.35">
      <c r="A6" s="11" t="s">
        <v>41</v>
      </c>
    </row>
    <row r="10" spans="1:13" ht="18.5" x14ac:dyDescent="0.45">
      <c r="M10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E01E7-C990-4C31-9102-788CBC41118A}">
  <sheetPr codeName="Sheet16"/>
  <dimension ref="A1:AD23"/>
  <sheetViews>
    <sheetView workbookViewId="0"/>
  </sheetViews>
  <sheetFormatPr defaultRowHeight="14.5" x14ac:dyDescent="0.35"/>
  <cols>
    <col min="1" max="3" width="7.453125" customWidth="1"/>
    <col min="4" max="4" width="2.26953125" customWidth="1"/>
    <col min="5" max="5" width="17" customWidth="1"/>
    <col min="20" max="20" width="9.1796875" customWidth="1"/>
    <col min="23" max="23" width="16.81640625" customWidth="1"/>
  </cols>
  <sheetData>
    <row r="1" spans="1:29" x14ac:dyDescent="0.35">
      <c r="A1" s="1" t="s">
        <v>0</v>
      </c>
    </row>
    <row r="3" spans="1:29" x14ac:dyDescent="0.35">
      <c r="E3" t="s">
        <v>1</v>
      </c>
      <c r="N3" s="2" t="str">
        <f t="shared" ref="N3:P18" si="0">A4</f>
        <v>Color</v>
      </c>
      <c r="O3" s="2" t="str">
        <f t="shared" si="0"/>
        <v>Quality</v>
      </c>
      <c r="P3" s="2" t="str">
        <f t="shared" si="0"/>
        <v>Price</v>
      </c>
      <c r="Q3" s="2" t="s">
        <v>2</v>
      </c>
      <c r="R3" s="2" t="s">
        <v>3</v>
      </c>
      <c r="S3" s="2" t="s">
        <v>4</v>
      </c>
      <c r="T3" s="2" t="s">
        <v>5</v>
      </c>
      <c r="U3" s="2" t="s">
        <v>6</v>
      </c>
      <c r="W3" t="s">
        <v>7</v>
      </c>
    </row>
    <row r="4" spans="1:29" x14ac:dyDescent="0.35">
      <c r="A4" s="2" t="s">
        <v>8</v>
      </c>
      <c r="B4" s="2" t="s">
        <v>9</v>
      </c>
      <c r="C4" s="2" t="s">
        <v>10</v>
      </c>
      <c r="N4" s="3">
        <f t="shared" si="0"/>
        <v>7</v>
      </c>
      <c r="O4" s="3">
        <f t="shared" si="0"/>
        <v>5</v>
      </c>
      <c r="P4" s="3">
        <f t="shared" si="0"/>
        <v>65</v>
      </c>
      <c r="Q4" s="4">
        <f t="array" ref="Q4:Q18">TREND(P4:P18,N4:O18)</f>
        <v>55.026564295334694</v>
      </c>
      <c r="R4" s="4">
        <f>P4-Q4</f>
        <v>9.9734357046653059</v>
      </c>
      <c r="S4" s="4">
        <f>ABS(R4)</f>
        <v>9.9734357046653059</v>
      </c>
      <c r="T4" s="4">
        <f t="array" ref="T4:T18">TREND(S4:S18,Q4:Q18)</f>
        <v>4.2356330868923404</v>
      </c>
      <c r="U4" s="4">
        <f>1/T4^2</f>
        <v>5.5739534272147485E-2</v>
      </c>
    </row>
    <row r="5" spans="1:29" ht="15" thickBot="1" x14ac:dyDescent="0.4">
      <c r="A5" s="3">
        <v>7</v>
      </c>
      <c r="B5" s="3">
        <v>5</v>
      </c>
      <c r="C5" s="3">
        <v>65</v>
      </c>
      <c r="E5" s="6" t="s">
        <v>11</v>
      </c>
      <c r="F5" s="6"/>
      <c r="H5" s="6"/>
      <c r="I5" s="6"/>
      <c r="N5" s="3">
        <f t="shared" si="0"/>
        <v>3</v>
      </c>
      <c r="O5" s="3">
        <f t="shared" si="0"/>
        <v>7</v>
      </c>
      <c r="P5" s="3">
        <f t="shared" si="0"/>
        <v>38</v>
      </c>
      <c r="Q5" s="4">
        <v>42.689423742742569</v>
      </c>
      <c r="R5" s="4">
        <f t="shared" ref="R5:R18" si="1">P5-Q5</f>
        <v>-4.6894237427425693</v>
      </c>
      <c r="S5" s="4">
        <f t="shared" ref="S5:S18" si="2">ABS(R5)</f>
        <v>4.6894237427425693</v>
      </c>
      <c r="T5" s="4">
        <v>3.5348805122866866</v>
      </c>
      <c r="U5" s="4">
        <f t="shared" ref="U5:U18" si="3">1/T5^2</f>
        <v>8.0029577419932843E-2</v>
      </c>
      <c r="W5" s="6" t="s">
        <v>11</v>
      </c>
      <c r="X5" s="6"/>
      <c r="Z5" s="6"/>
      <c r="AA5" s="6"/>
    </row>
    <row r="6" spans="1:29" ht="15" thickTop="1" x14ac:dyDescent="0.35">
      <c r="A6" s="3">
        <v>3</v>
      </c>
      <c r="B6" s="3">
        <v>7</v>
      </c>
      <c r="C6" s="3">
        <v>38</v>
      </c>
      <c r="E6" t="s">
        <v>12</v>
      </c>
      <c r="F6">
        <f>SQRT(F7)</f>
        <v>0.96244273569588235</v>
      </c>
      <c r="H6" t="s">
        <v>13</v>
      </c>
      <c r="I6">
        <f>F10*LN(G15/F10)+2*(F14+1)</f>
        <v>50.215048856751416</v>
      </c>
      <c r="N6" s="3">
        <f t="shared" si="0"/>
        <v>5</v>
      </c>
      <c r="O6" s="3">
        <f t="shared" si="0"/>
        <v>8</v>
      </c>
      <c r="P6" s="3">
        <f t="shared" si="0"/>
        <v>51</v>
      </c>
      <c r="Q6" s="4">
        <v>56.567118409338214</v>
      </c>
      <c r="R6" s="4">
        <f t="shared" si="1"/>
        <v>-5.5671184093382138</v>
      </c>
      <c r="S6" s="4">
        <f t="shared" si="2"/>
        <v>5.5671184093382138</v>
      </c>
      <c r="T6" s="4">
        <v>4.3231369340849124</v>
      </c>
      <c r="U6" s="4">
        <f t="shared" si="3"/>
        <v>5.3505942216357669E-2</v>
      </c>
      <c r="W6" t="s">
        <v>12</v>
      </c>
      <c r="X6">
        <f>SQRT(X7)</f>
        <v>0.96900243100190098</v>
      </c>
      <c r="Z6" t="s">
        <v>13</v>
      </c>
      <c r="AA6">
        <f>X10*LN(Y15/X10)+2*X14</f>
        <v>8.5062078756896664</v>
      </c>
    </row>
    <row r="7" spans="1:29" x14ac:dyDescent="0.35">
      <c r="A7" s="3">
        <v>5</v>
      </c>
      <c r="B7" s="3">
        <v>8</v>
      </c>
      <c r="C7" s="3">
        <v>51</v>
      </c>
      <c r="E7" t="s">
        <v>14</v>
      </c>
      <c r="F7">
        <f>G14/G16</f>
        <v>0.92629601949377394</v>
      </c>
      <c r="H7" t="s">
        <v>15</v>
      </c>
      <c r="I7">
        <f>I6+2*(F14+2)*(F14+3)/(F10-F14-3)</f>
        <v>54.215048856751416</v>
      </c>
      <c r="N7" s="3">
        <f t="shared" si="0"/>
        <v>8</v>
      </c>
      <c r="O7" s="3">
        <f t="shared" si="0"/>
        <v>1</v>
      </c>
      <c r="P7" s="3">
        <f t="shared" si="0"/>
        <v>38</v>
      </c>
      <c r="Q7" s="4">
        <v>44.619881750458461</v>
      </c>
      <c r="R7" s="4">
        <f t="shared" si="1"/>
        <v>-6.6198817504584611</v>
      </c>
      <c r="S7" s="4">
        <f t="shared" si="2"/>
        <v>6.6198817504584611</v>
      </c>
      <c r="T7" s="4">
        <v>3.6445309951768068</v>
      </c>
      <c r="U7" s="4">
        <f t="shared" si="3"/>
        <v>7.5286430000227167E-2</v>
      </c>
      <c r="W7" t="s">
        <v>14</v>
      </c>
      <c r="X7">
        <f>Y14/Y16</f>
        <v>0.93896571128759376</v>
      </c>
      <c r="Z7" t="s">
        <v>15</v>
      </c>
      <c r="AA7">
        <f>AA6+2*(X14+1)*(X14+2)/(X10-X14-2)</f>
        <v>10.688026057507848</v>
      </c>
    </row>
    <row r="8" spans="1:29" x14ac:dyDescent="0.35">
      <c r="A8" s="3">
        <v>8</v>
      </c>
      <c r="B8" s="3">
        <v>1</v>
      </c>
      <c r="C8" s="3">
        <v>38</v>
      </c>
      <c r="E8" t="s">
        <v>16</v>
      </c>
      <c r="F8">
        <f>1-(1-F7)*(F10-1)/(F10-F14-1)</f>
        <v>0.9140120227427363</v>
      </c>
      <c r="H8" s="7" t="s">
        <v>17</v>
      </c>
      <c r="I8" s="7">
        <f>F10*LN(G15/F10)+(F14+1)*LN(F10)</f>
        <v>52.339199460058047</v>
      </c>
      <c r="N8" s="3">
        <f t="shared" si="0"/>
        <v>9</v>
      </c>
      <c r="O8" s="3">
        <f t="shared" si="0"/>
        <v>3</v>
      </c>
      <c r="P8" s="3">
        <f t="shared" si="0"/>
        <v>55</v>
      </c>
      <c r="Q8" s="4">
        <v>57.340572376480964</v>
      </c>
      <c r="R8" s="4">
        <f t="shared" si="1"/>
        <v>-2.3405723764809636</v>
      </c>
      <c r="S8" s="4">
        <f t="shared" si="2"/>
        <v>2.3405723764809636</v>
      </c>
      <c r="T8" s="4">
        <v>4.3670693069474682</v>
      </c>
      <c r="U8" s="4">
        <f t="shared" si="3"/>
        <v>5.2434826006472264E-2</v>
      </c>
      <c r="W8" t="s">
        <v>16</v>
      </c>
      <c r="X8">
        <f>1-(1-X7)*X10/(X10-X14)</f>
        <v>0.92957582071645439</v>
      </c>
      <c r="Z8" s="7" t="s">
        <v>18</v>
      </c>
      <c r="AA8" s="7">
        <f>X10*LN(Y15/X10)+X14*LN(X10)</f>
        <v>9.9223082778940856</v>
      </c>
    </row>
    <row r="9" spans="1:29" x14ac:dyDescent="0.35">
      <c r="A9" s="3">
        <v>9</v>
      </c>
      <c r="B9" s="3">
        <v>3</v>
      </c>
      <c r="C9" s="3">
        <v>55</v>
      </c>
      <c r="E9" t="s">
        <v>19</v>
      </c>
      <c r="F9">
        <f>SQRT(H15)</f>
        <v>4.8812763731865685</v>
      </c>
      <c r="N9" s="3">
        <f t="shared" si="0"/>
        <v>5</v>
      </c>
      <c r="O9" s="3">
        <f t="shared" si="0"/>
        <v>4</v>
      </c>
      <c r="P9" s="3">
        <f t="shared" si="0"/>
        <v>43</v>
      </c>
      <c r="Q9" s="4">
        <v>41.14886962873905</v>
      </c>
      <c r="R9" s="4">
        <f t="shared" si="1"/>
        <v>1.8511303712609504</v>
      </c>
      <c r="S9" s="4">
        <f t="shared" si="2"/>
        <v>1.8511303712609504</v>
      </c>
      <c r="T9" s="4">
        <v>3.4473766650941151</v>
      </c>
      <c r="U9" s="4">
        <f t="shared" si="3"/>
        <v>8.4143878192278157E-2</v>
      </c>
      <c r="W9" t="s">
        <v>19</v>
      </c>
      <c r="X9">
        <f>SQRT(Z15)</f>
        <v>1.2992389953216001</v>
      </c>
    </row>
    <row r="10" spans="1:29" x14ac:dyDescent="0.35">
      <c r="A10" s="3">
        <v>5</v>
      </c>
      <c r="B10" s="3">
        <v>4</v>
      </c>
      <c r="C10" s="3">
        <v>43</v>
      </c>
      <c r="E10" s="7" t="s">
        <v>20</v>
      </c>
      <c r="F10" s="7">
        <f>COUNT(C5:C19)</f>
        <v>15</v>
      </c>
      <c r="N10" s="3">
        <f t="shared" si="0"/>
        <v>2</v>
      </c>
      <c r="O10" s="3">
        <f t="shared" si="0"/>
        <v>3</v>
      </c>
      <c r="P10" s="3">
        <f t="shared" si="0"/>
        <v>20</v>
      </c>
      <c r="Q10" s="4">
        <v>22.259608726420481</v>
      </c>
      <c r="R10" s="4">
        <f t="shared" si="1"/>
        <v>-2.2596087264204812</v>
      </c>
      <c r="S10" s="4">
        <f t="shared" si="2"/>
        <v>2.2596087264204812</v>
      </c>
      <c r="T10" s="4">
        <v>2.374462066020627</v>
      </c>
      <c r="U10" s="4">
        <f t="shared" si="3"/>
        <v>0.17736565557655207</v>
      </c>
      <c r="W10" s="7" t="s">
        <v>20</v>
      </c>
      <c r="X10" s="7">
        <f>COUNT(C5:C19)</f>
        <v>15</v>
      </c>
    </row>
    <row r="11" spans="1:29" x14ac:dyDescent="0.35">
      <c r="A11" s="3">
        <v>2</v>
      </c>
      <c r="B11" s="3">
        <v>3</v>
      </c>
      <c r="C11" s="3">
        <v>20</v>
      </c>
      <c r="N11" s="3">
        <f t="shared" si="0"/>
        <v>8</v>
      </c>
      <c r="O11" s="3">
        <f t="shared" si="0"/>
        <v>6</v>
      </c>
      <c r="P11" s="3">
        <f t="shared" si="0"/>
        <v>65</v>
      </c>
      <c r="Q11" s="4">
        <v>63.892692726207414</v>
      </c>
      <c r="R11" s="4">
        <f t="shared" si="1"/>
        <v>1.1073072737925855</v>
      </c>
      <c r="S11" s="4">
        <f t="shared" si="2"/>
        <v>1.1073072737925855</v>
      </c>
      <c r="T11" s="4">
        <v>4.7392313314153025</v>
      </c>
      <c r="U11" s="4">
        <f t="shared" si="3"/>
        <v>4.4522975825055371E-2</v>
      </c>
    </row>
    <row r="12" spans="1:29" ht="15" thickBot="1" x14ac:dyDescent="0.4">
      <c r="A12" s="3">
        <v>8</v>
      </c>
      <c r="B12" s="3">
        <v>6</v>
      </c>
      <c r="C12" s="3">
        <v>65</v>
      </c>
      <c r="E12" t="s">
        <v>21</v>
      </c>
      <c r="I12" s="3" t="s">
        <v>22</v>
      </c>
      <c r="J12" s="3">
        <v>0.05</v>
      </c>
      <c r="N12" s="3">
        <f t="shared" si="0"/>
        <v>3</v>
      </c>
      <c r="O12" s="3">
        <f t="shared" si="0"/>
        <v>1</v>
      </c>
      <c r="P12" s="3">
        <f t="shared" si="0"/>
        <v>20</v>
      </c>
      <c r="Q12" s="4">
        <v>19.562050571843827</v>
      </c>
      <c r="R12" s="4">
        <f t="shared" si="1"/>
        <v>0.43794942815617333</v>
      </c>
      <c r="S12" s="4">
        <f t="shared" si="2"/>
        <v>0.43794942815617333</v>
      </c>
      <c r="T12" s="4">
        <v>2.2212401088004916</v>
      </c>
      <c r="U12" s="4">
        <f t="shared" si="3"/>
        <v>0.2026791088984084</v>
      </c>
      <c r="W12" t="s">
        <v>21</v>
      </c>
      <c r="AA12" s="3" t="s">
        <v>22</v>
      </c>
      <c r="AB12" s="3">
        <v>0.05</v>
      </c>
    </row>
    <row r="13" spans="1:29" ht="15" thickTop="1" x14ac:dyDescent="0.35">
      <c r="A13" s="3">
        <v>3</v>
      </c>
      <c r="B13" s="3">
        <v>1</v>
      </c>
      <c r="C13" s="3">
        <v>20</v>
      </c>
      <c r="E13" s="8"/>
      <c r="F13" s="8" t="s">
        <v>23</v>
      </c>
      <c r="G13" s="8" t="s">
        <v>24</v>
      </c>
      <c r="H13" s="8" t="s">
        <v>25</v>
      </c>
      <c r="I13" s="8" t="s">
        <v>26</v>
      </c>
      <c r="J13" s="8" t="s">
        <v>27</v>
      </c>
      <c r="K13" s="8" t="s">
        <v>28</v>
      </c>
      <c r="N13" s="3">
        <f t="shared" si="0"/>
        <v>1</v>
      </c>
      <c r="O13" s="3">
        <f t="shared" si="0"/>
        <v>5</v>
      </c>
      <c r="P13" s="3">
        <f t="shared" si="0"/>
        <v>26</v>
      </c>
      <c r="Q13" s="4">
        <v>24.957166880997136</v>
      </c>
      <c r="R13" s="4">
        <f t="shared" si="1"/>
        <v>1.0428331190028644</v>
      </c>
      <c r="S13" s="4">
        <f t="shared" si="2"/>
        <v>1.0428331190028644</v>
      </c>
      <c r="T13" s="4">
        <v>2.527684023240762</v>
      </c>
      <c r="U13" s="4">
        <f t="shared" si="3"/>
        <v>0.15651444775621245</v>
      </c>
      <c r="W13" s="8"/>
      <c r="X13" s="8" t="s">
        <v>23</v>
      </c>
      <c r="Y13" s="8" t="s">
        <v>24</v>
      </c>
      <c r="Z13" s="8" t="s">
        <v>25</v>
      </c>
      <c r="AA13" s="8" t="s">
        <v>26</v>
      </c>
      <c r="AB13" s="8" t="s">
        <v>27</v>
      </c>
      <c r="AC13" s="8" t="s">
        <v>28</v>
      </c>
    </row>
    <row r="14" spans="1:29" x14ac:dyDescent="0.35">
      <c r="A14" s="3">
        <v>1</v>
      </c>
      <c r="B14" s="3">
        <v>5</v>
      </c>
      <c r="C14" s="3">
        <v>26</v>
      </c>
      <c r="E14" t="s">
        <v>29</v>
      </c>
      <c r="F14">
        <f>COUNT(A5:B5)</f>
        <v>2</v>
      </c>
      <c r="G14">
        <f>DEVSQ(MMULT([3]!DEsign(A5:B19),F19:F21))</f>
        <v>3593.4110249561809</v>
      </c>
      <c r="H14">
        <f>G14/F14</f>
        <v>1796.7055124780904</v>
      </c>
      <c r="I14">
        <f>H14/H15</f>
        <v>75.40672944378025</v>
      </c>
      <c r="J14">
        <f>FDIST(I14,F14,F15)</f>
        <v>1.603044800233996E-7</v>
      </c>
      <c r="K14" s="3" t="str">
        <f>IF(J14&lt;J12,"yes","no")</f>
        <v>yes</v>
      </c>
      <c r="N14" s="3">
        <f t="shared" si="0"/>
        <v>4</v>
      </c>
      <c r="O14" s="3">
        <f t="shared" si="0"/>
        <v>0</v>
      </c>
      <c r="P14" s="3">
        <f t="shared" si="0"/>
        <v>25</v>
      </c>
      <c r="Q14" s="4">
        <v>20.719054612416969</v>
      </c>
      <c r="R14" s="4">
        <f t="shared" si="1"/>
        <v>4.2809453875830314</v>
      </c>
      <c r="S14" s="4">
        <f t="shared" si="2"/>
        <v>4.2809453875830314</v>
      </c>
      <c r="T14" s="4">
        <v>2.2869582188280559</v>
      </c>
      <c r="U14" s="4">
        <f t="shared" si="3"/>
        <v>0.19119808544562217</v>
      </c>
      <c r="W14" t="s">
        <v>29</v>
      </c>
      <c r="X14">
        <f>COUNT(A5:B5)</f>
        <v>2</v>
      </c>
      <c r="Y14" cm="1">
        <f t="array" ref="Y14">SUMPRODUCT(U4:U18,MMULT([3]!DEsign(A5:B19),X19:X21)^2)-SUMPRODUCT(C5:C19,U4:U18)^2/SUM(U4:U18)</f>
        <v>311.62707657950068</v>
      </c>
      <c r="Z14">
        <f>Y14/X14</f>
        <v>155.81353828975034</v>
      </c>
      <c r="AA14">
        <f>Z14/Z15</f>
        <v>92.305397286958055</v>
      </c>
      <c r="AB14">
        <f>FDIST(AA14,X14,X15)</f>
        <v>5.1694379443682917E-8</v>
      </c>
      <c r="AC14" s="3" t="str">
        <f>IF(AB14&lt;AB12,"yes","no")</f>
        <v>yes</v>
      </c>
    </row>
    <row r="15" spans="1:29" x14ac:dyDescent="0.35">
      <c r="A15" s="3">
        <v>4</v>
      </c>
      <c r="B15" s="3">
        <v>0</v>
      </c>
      <c r="C15" s="3">
        <v>25</v>
      </c>
      <c r="E15" t="s">
        <v>30</v>
      </c>
      <c r="F15">
        <f>F16-F14</f>
        <v>12</v>
      </c>
      <c r="G15">
        <f>G16-G14</f>
        <v>285.92230837715306</v>
      </c>
      <c r="H15">
        <f>G15/F15</f>
        <v>23.826859031429422</v>
      </c>
      <c r="N15" s="3">
        <f t="shared" si="0"/>
        <v>2</v>
      </c>
      <c r="O15" s="3">
        <f t="shared" si="0"/>
        <v>6</v>
      </c>
      <c r="P15" s="3">
        <f t="shared" si="0"/>
        <v>33</v>
      </c>
      <c r="Q15" s="4">
        <v>33.823295311869856</v>
      </c>
      <c r="R15" s="4">
        <f t="shared" si="1"/>
        <v>-0.82329531186985605</v>
      </c>
      <c r="S15" s="4">
        <f t="shared" si="2"/>
        <v>0.82329531186985605</v>
      </c>
      <c r="T15" s="4">
        <v>3.0312822677637246</v>
      </c>
      <c r="U15" s="4">
        <f t="shared" si="3"/>
        <v>0.10882965238765983</v>
      </c>
      <c r="W15" t="s">
        <v>30</v>
      </c>
      <c r="X15">
        <f>X16-X14</f>
        <v>12</v>
      </c>
      <c r="Y15">
        <f>Y16-Y14</f>
        <v>20.256263603571369</v>
      </c>
      <c r="Z15">
        <f>Y15/X15</f>
        <v>1.6880219669642809</v>
      </c>
    </row>
    <row r="16" spans="1:29" x14ac:dyDescent="0.35">
      <c r="A16" s="3">
        <v>2</v>
      </c>
      <c r="B16" s="3">
        <v>6</v>
      </c>
      <c r="C16" s="3">
        <v>33</v>
      </c>
      <c r="E16" s="7" t="s">
        <v>31</v>
      </c>
      <c r="F16" s="7">
        <f>F10-1</f>
        <v>14</v>
      </c>
      <c r="G16" s="7">
        <f>DEVSQ(C5:C19)</f>
        <v>3879.3333333333339</v>
      </c>
      <c r="H16" s="7"/>
      <c r="I16" s="7"/>
      <c r="J16" s="7"/>
      <c r="K16" s="7"/>
      <c r="N16" s="3">
        <f t="shared" si="0"/>
        <v>8</v>
      </c>
      <c r="O16" s="3">
        <f t="shared" si="0"/>
        <v>7</v>
      </c>
      <c r="P16" s="3">
        <f t="shared" si="0"/>
        <v>71</v>
      </c>
      <c r="Q16" s="4">
        <v>67.747254921357211</v>
      </c>
      <c r="R16" s="4">
        <f t="shared" si="1"/>
        <v>3.2527450786427892</v>
      </c>
      <c r="S16" s="4">
        <f t="shared" si="2"/>
        <v>3.2527450786427892</v>
      </c>
      <c r="T16" s="4">
        <v>4.9581713986630023</v>
      </c>
      <c r="U16" s="4">
        <f t="shared" si="3"/>
        <v>4.0677750520339812E-2</v>
      </c>
      <c r="W16" s="7" t="s">
        <v>31</v>
      </c>
      <c r="X16" s="7">
        <f>X10-1</f>
        <v>14</v>
      </c>
      <c r="Y16" s="7">
        <f>SUMPRODUCT(C5:C19^2,U4:U18)-SUMPRODUCT(C5:C19,U4:U18)^2/SUM(U4:U18)</f>
        <v>331.88334018307205</v>
      </c>
      <c r="Z16" s="7"/>
      <c r="AA16" s="7"/>
      <c r="AB16" s="7"/>
      <c r="AC16" s="7"/>
    </row>
    <row r="17" spans="1:30" ht="15" thickBot="1" x14ac:dyDescent="0.4">
      <c r="A17" s="3">
        <v>8</v>
      </c>
      <c r="B17" s="3">
        <v>7</v>
      </c>
      <c r="C17" s="3">
        <v>71</v>
      </c>
      <c r="N17" s="3">
        <f t="shared" si="0"/>
        <v>6</v>
      </c>
      <c r="O17" s="3">
        <f t="shared" si="0"/>
        <v>4</v>
      </c>
      <c r="P17" s="3">
        <f t="shared" si="0"/>
        <v>51</v>
      </c>
      <c r="Q17" s="4">
        <v>46.160435864461974</v>
      </c>
      <c r="R17" s="4">
        <f t="shared" si="1"/>
        <v>4.8395641355380263</v>
      </c>
      <c r="S17" s="4">
        <f t="shared" si="2"/>
        <v>4.8395641355380263</v>
      </c>
      <c r="T17" s="4">
        <v>3.7320348423693779</v>
      </c>
      <c r="U17" s="4">
        <f t="shared" si="3"/>
        <v>7.1797384001823297E-2</v>
      </c>
    </row>
    <row r="18" spans="1:30" ht="15" thickTop="1" x14ac:dyDescent="0.35">
      <c r="A18" s="3">
        <v>6</v>
      </c>
      <c r="B18" s="3">
        <v>4</v>
      </c>
      <c r="C18" s="3">
        <v>51</v>
      </c>
      <c r="E18" s="8"/>
      <c r="F18" s="8" t="s">
        <v>32</v>
      </c>
      <c r="G18" s="8" t="s">
        <v>33</v>
      </c>
      <c r="H18" s="8" t="s">
        <v>34</v>
      </c>
      <c r="I18" s="8" t="s">
        <v>27</v>
      </c>
      <c r="J18" s="8" t="s">
        <v>35</v>
      </c>
      <c r="K18" s="8" t="s">
        <v>36</v>
      </c>
      <c r="L18" s="8" t="s">
        <v>37</v>
      </c>
      <c r="N18" s="9">
        <f t="shared" si="0"/>
        <v>9</v>
      </c>
      <c r="O18" s="9">
        <f t="shared" si="0"/>
        <v>2</v>
      </c>
      <c r="P18" s="9">
        <f t="shared" si="0"/>
        <v>49</v>
      </c>
      <c r="Q18" s="5">
        <v>53.486010181331174</v>
      </c>
      <c r="R18" s="5">
        <f t="shared" si="1"/>
        <v>-4.4860101813311744</v>
      </c>
      <c r="S18" s="5">
        <f t="shared" si="2"/>
        <v>4.4860101813311744</v>
      </c>
      <c r="T18" s="5">
        <v>4.1481292396997684</v>
      </c>
      <c r="U18" s="5">
        <f t="shared" si="3"/>
        <v>5.8115963490704428E-2</v>
      </c>
      <c r="W18" s="8"/>
      <c r="X18" s="8" t="s">
        <v>32</v>
      </c>
      <c r="Y18" s="8" t="s">
        <v>33</v>
      </c>
      <c r="Z18" s="8" t="s">
        <v>34</v>
      </c>
      <c r="AA18" s="8" t="s">
        <v>27</v>
      </c>
      <c r="AB18" s="8" t="s">
        <v>35</v>
      </c>
      <c r="AC18" s="8" t="s">
        <v>36</v>
      </c>
      <c r="AD18" s="8" t="s">
        <v>37</v>
      </c>
    </row>
    <row r="19" spans="1:30" x14ac:dyDescent="0.35">
      <c r="A19" s="9">
        <v>9</v>
      </c>
      <c r="B19" s="9">
        <v>2</v>
      </c>
      <c r="C19" s="9">
        <v>49</v>
      </c>
      <c r="E19" t="s">
        <v>38</v>
      </c>
      <c r="F19">
        <f t="array" ref="F19:G21">[3]!RegCoeff(A5:B19,C5:C19)</f>
        <v>0.67278966952525998</v>
      </c>
      <c r="G19">
        <v>3.7254870442545198</v>
      </c>
      <c r="H19">
        <f>F19/G19</f>
        <v>0.18059106407653258</v>
      </c>
      <c r="I19">
        <f>TDIST(ABS(H19),$F$15,2)</f>
        <v>0.85970259020618356</v>
      </c>
      <c r="J19">
        <f>F19-TINV(J$12,$F$15)*G19</f>
        <v>-7.4443492992555296</v>
      </c>
      <c r="K19">
        <f>F19+TINV(J$12,$F$15)*G19</f>
        <v>8.7899286383060495</v>
      </c>
      <c r="W19" t="s">
        <v>38</v>
      </c>
      <c r="X19">
        <f t="array" ref="X19:Y21">[3]!WRegCoeff(A5:B19,C5:C19,U4:U18)</f>
        <v>1.9172425561752107</v>
      </c>
      <c r="Y19">
        <v>2.6876052111061322</v>
      </c>
      <c r="Z19">
        <f>X19/Y19</f>
        <v>0.71336465201529176</v>
      </c>
      <c r="AA19">
        <f>TDIST(ABS(Z19),$X$15,2)</f>
        <v>0.48926184842574572</v>
      </c>
      <c r="AB19">
        <f>X19-TINV(AB$12,$X$15)*Y19</f>
        <v>-3.9385461588633301</v>
      </c>
      <c r="AC19">
        <f>X19+TINV(AB$12,$X$15)*Y19</f>
        <v>7.7730312712137515</v>
      </c>
    </row>
    <row r="20" spans="1:30" x14ac:dyDescent="0.35">
      <c r="E20" t="str">
        <f t="array" ref="E20:E21">TRANSPOSE(A4:B4)</f>
        <v>Color</v>
      </c>
      <c r="F20">
        <v>5.0115662357229267</v>
      </c>
      <c r="G20">
        <v>0.4772022063457258</v>
      </c>
      <c r="H20">
        <f t="shared" ref="H20:H21" si="4">F20/G20</f>
        <v>10.501976246296151</v>
      </c>
      <c r="I20">
        <f t="shared" ref="I20:I21" si="5">TDIST(ABS(H20),$F$15,2)</f>
        <v>2.1043980418140897E-7</v>
      </c>
      <c r="J20">
        <f t="shared" ref="J20:J21" si="6">F20-TINV(J$12,$F$15)*G20</f>
        <v>3.9718319461913509</v>
      </c>
      <c r="K20">
        <f t="shared" ref="K20:K21" si="7">F20+TINV(J$12,$F$15)*G20</f>
        <v>6.0513005252545025</v>
      </c>
      <c r="L20">
        <f>[3]!VIF(A5:B19,1)</f>
        <v>1.0067089240103386</v>
      </c>
      <c r="W20" t="str">
        <f t="array" ref="W20:W21">TRANSPOSE(A4:B4)</f>
        <v>Color</v>
      </c>
      <c r="X20">
        <v>4.9696452468362784</v>
      </c>
      <c r="Y20">
        <v>0.43326973594654344</v>
      </c>
      <c r="Z20">
        <f t="shared" ref="Z20:Z21" si="8">X20/Y20</f>
        <v>11.47009549600628</v>
      </c>
      <c r="AA20">
        <f t="shared" ref="AA20:AA21" si="9">TDIST(ABS(Z20),$X$15,2)</f>
        <v>7.9855688889625301E-8</v>
      </c>
      <c r="AB20">
        <f t="shared" ref="AB20:AB21" si="10">X20-TINV(AB$12,$X$15)*Y20</f>
        <v>4.0256315874494168</v>
      </c>
      <c r="AC20">
        <f t="shared" ref="AC20:AC21" si="11">X20+TINV(AB$12,$X$15)*Y20</f>
        <v>5.9136589062231399</v>
      </c>
      <c r="AD20">
        <f t="array" ref="AD20">[3]!WVIF(A5:B19,U4:U18,1)</f>
        <v>1.0035854268213857</v>
      </c>
    </row>
    <row r="21" spans="1:30" x14ac:dyDescent="0.35">
      <c r="E21" s="7" t="str">
        <v>Quality</v>
      </c>
      <c r="F21" s="7">
        <v>3.8545621951497901</v>
      </c>
      <c r="G21" s="7">
        <v>0.53522472382443897</v>
      </c>
      <c r="H21" s="7">
        <f t="shared" si="4"/>
        <v>7.2017640881891305</v>
      </c>
      <c r="I21" s="7">
        <f t="shared" si="5"/>
        <v>1.0840761462972225E-5</v>
      </c>
      <c r="J21" s="7">
        <f t="shared" si="6"/>
        <v>2.6884077001260032</v>
      </c>
      <c r="K21" s="7">
        <f t="shared" si="7"/>
        <v>5.0207166901735771</v>
      </c>
      <c r="L21" s="7">
        <f>[3]!VIF(A5:B19,2)</f>
        <v>1.0067089240103386</v>
      </c>
      <c r="W21" s="7" t="str">
        <v>Quality</v>
      </c>
      <c r="X21" s="7">
        <v>3.5955530326288283</v>
      </c>
      <c r="Y21" s="7">
        <v>0.45193276177607578</v>
      </c>
      <c r="Z21" s="7">
        <f t="shared" si="8"/>
        <v>7.9559468503643416</v>
      </c>
      <c r="AA21" s="7">
        <f t="shared" si="9"/>
        <v>3.9783935609491252E-6</v>
      </c>
      <c r="AB21" s="7">
        <f t="shared" si="10"/>
        <v>2.6108761331241714</v>
      </c>
      <c r="AC21" s="7">
        <f t="shared" si="11"/>
        <v>4.5802299321334852</v>
      </c>
      <c r="AD21" s="7">
        <f t="array" ref="AD21">[3]!WVIF(A5:B19,U4:U18,2)</f>
        <v>1.0035854268213869</v>
      </c>
    </row>
    <row r="23" spans="1:30" x14ac:dyDescent="0.35">
      <c r="X23">
        <f>[3]!WRSquare(N4:O18,P4:P18,U4:U18)</f>
        <v>0.9389657112876022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Ex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2026-01-10T09:24:26Z</dcterms:created>
  <dcterms:modified xsi:type="dcterms:W3CDTF">2026-01-10T09:27:23Z</dcterms:modified>
</cp:coreProperties>
</file>