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DBE0DEC1-06AE-4624-92C8-BD4BB0302E32}" xr6:coauthVersionLast="47" xr6:coauthVersionMax="47" xr10:uidLastSave="{00000000-0000-0000-0000-000000000000}"/>
  <bookViews>
    <workbookView xWindow="-110" yWindow="-110" windowWidth="19420" windowHeight="10300" xr2:uid="{9DEADED4-C20E-49BE-B7C0-00C3FA9EB9FD}"/>
  </bookViews>
  <sheets>
    <sheet name="Title" sheetId="3" r:id="rId1"/>
    <sheet name="Solver" sheetId="1" r:id="rId2"/>
    <sheet name="Newton" sheetId="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2" l="1" a="1"/>
  <c r="S30" i="2" s="1"/>
  <c r="P24" i="2" a="1"/>
  <c r="P24" i="2" s="1"/>
  <c r="F23" i="2" a="1"/>
  <c r="K25" i="2" s="1"/>
  <c r="F21" i="2"/>
  <c r="F20" i="2" a="1"/>
  <c r="F20" i="2" s="1"/>
  <c r="H19" i="2" a="1"/>
  <c r="H19" i="2" s="1"/>
  <c r="R18" i="2" a="1"/>
  <c r="R20" i="2" s="1"/>
  <c r="D16" i="2"/>
  <c r="C16" i="2"/>
  <c r="I15" i="2"/>
  <c r="J15" i="2" s="1"/>
  <c r="H15" i="2"/>
  <c r="G15" i="2"/>
  <c r="F15" i="2"/>
  <c r="K14" i="2"/>
  <c r="J14" i="2"/>
  <c r="I14" i="2"/>
  <c r="H14" i="2"/>
  <c r="G14" i="2"/>
  <c r="F14" i="2"/>
  <c r="I13" i="2"/>
  <c r="H13" i="2"/>
  <c r="J13" i="2" s="1"/>
  <c r="G13" i="2"/>
  <c r="F13" i="2"/>
  <c r="I12" i="2"/>
  <c r="J12" i="2" s="1"/>
  <c r="H12" i="2"/>
  <c r="G12" i="2"/>
  <c r="F12" i="2"/>
  <c r="J11" i="2"/>
  <c r="I11" i="2"/>
  <c r="H11" i="2"/>
  <c r="G11" i="2"/>
  <c r="F11" i="2"/>
  <c r="I10" i="2"/>
  <c r="H10" i="2"/>
  <c r="J10" i="2" s="1"/>
  <c r="G10" i="2"/>
  <c r="F10" i="2"/>
  <c r="I9" i="2"/>
  <c r="H9" i="2"/>
  <c r="J9" i="2" s="1"/>
  <c r="K9" i="2" s="1"/>
  <c r="G9" i="2"/>
  <c r="F9" i="2"/>
  <c r="I8" i="2"/>
  <c r="H8" i="2"/>
  <c r="J8" i="2" s="1"/>
  <c r="G8" i="2"/>
  <c r="F8" i="2"/>
  <c r="X7" i="2"/>
  <c r="J7" i="2"/>
  <c r="I7" i="2"/>
  <c r="H7" i="2"/>
  <c r="G7" i="2"/>
  <c r="F7" i="2"/>
  <c r="I6" i="2"/>
  <c r="H6" i="2"/>
  <c r="J6" i="2" s="1"/>
  <c r="G6" i="2"/>
  <c r="F6" i="2"/>
  <c r="AK16" i="2"/>
  <c r="AK12" i="2"/>
  <c r="AM11" i="2"/>
  <c r="AL11" i="2"/>
  <c r="AK5" i="2" a="1"/>
  <c r="AK14" i="2" s="1"/>
  <c r="U5" i="2" a="1"/>
  <c r="U7" i="2" s="1"/>
  <c r="I5" i="2"/>
  <c r="J5" i="2" s="1"/>
  <c r="H5" i="2"/>
  <c r="G5" i="2"/>
  <c r="F5" i="2"/>
  <c r="I4" i="2"/>
  <c r="I16" i="2" s="1"/>
  <c r="AH6" i="2" s="1"/>
  <c r="H4" i="2"/>
  <c r="H16" i="2" s="1"/>
  <c r="G4" i="2"/>
  <c r="F4" i="2"/>
  <c r="I3" i="2"/>
  <c r="H3" i="2"/>
  <c r="G3" i="2"/>
  <c r="F3" i="2"/>
  <c r="H24" i="1" a="1"/>
  <c r="H26" i="1" s="1"/>
  <c r="F20" i="1" a="1"/>
  <c r="F21" i="1" s="1"/>
  <c r="H19" i="1" a="1"/>
  <c r="H21" i="1" s="1"/>
  <c r="G19" i="1" a="1"/>
  <c r="D16" i="1"/>
  <c r="C16" i="1"/>
  <c r="Q15" i="1"/>
  <c r="I15" i="1"/>
  <c r="J15" i="1" s="1"/>
  <c r="H15" i="1"/>
  <c r="G15" i="1"/>
  <c r="F15" i="1"/>
  <c r="Q14" i="1"/>
  <c r="L14" i="1"/>
  <c r="P14" i="1" s="1"/>
  <c r="K14" i="1"/>
  <c r="J14" i="1"/>
  <c r="I14" i="1"/>
  <c r="H14" i="1"/>
  <c r="G14" i="1"/>
  <c r="F14" i="1"/>
  <c r="R13" i="1"/>
  <c r="S13" i="1" s="1"/>
  <c r="M13" i="1"/>
  <c r="N13" i="1" s="1"/>
  <c r="I13" i="1"/>
  <c r="H13" i="1"/>
  <c r="J13" i="1" s="1"/>
  <c r="G13" i="1"/>
  <c r="F13" i="1"/>
  <c r="Q13" i="1" s="1"/>
  <c r="L13" i="1" s="1"/>
  <c r="P13" i="1" s="1"/>
  <c r="Q12" i="1"/>
  <c r="J12" i="1"/>
  <c r="I12" i="1"/>
  <c r="H12" i="1"/>
  <c r="G12" i="1"/>
  <c r="F12" i="1"/>
  <c r="Q11" i="1"/>
  <c r="R11" i="1" s="1"/>
  <c r="L11" i="1"/>
  <c r="I11" i="1"/>
  <c r="J11" i="1" s="1"/>
  <c r="H11" i="1"/>
  <c r="G11" i="1"/>
  <c r="F11" i="1"/>
  <c r="Q10" i="1"/>
  <c r="R10" i="1" s="1"/>
  <c r="I10" i="1"/>
  <c r="H10" i="1"/>
  <c r="J10" i="1" s="1"/>
  <c r="G10" i="1"/>
  <c r="F10" i="1"/>
  <c r="S9" i="1"/>
  <c r="P9" i="1"/>
  <c r="O9" i="1"/>
  <c r="L9" i="1"/>
  <c r="I9" i="1"/>
  <c r="H9" i="1"/>
  <c r="J9" i="1" s="1"/>
  <c r="K9" i="1" s="1"/>
  <c r="G9" i="1"/>
  <c r="Q9" i="1" s="1"/>
  <c r="R9" i="1" s="1"/>
  <c r="F9" i="1"/>
  <c r="I8" i="1"/>
  <c r="H8" i="1"/>
  <c r="J8" i="1" s="1"/>
  <c r="G8" i="1"/>
  <c r="F8" i="1"/>
  <c r="Q8" i="1" s="1"/>
  <c r="R8" i="1" s="1"/>
  <c r="I7" i="1"/>
  <c r="H7" i="1"/>
  <c r="J7" i="1" s="1"/>
  <c r="G7" i="1"/>
  <c r="F7" i="1"/>
  <c r="Q7" i="1" s="1"/>
  <c r="I6" i="1"/>
  <c r="H6" i="1"/>
  <c r="J6" i="1" s="1"/>
  <c r="G6" i="1"/>
  <c r="F6" i="1"/>
  <c r="AK5" i="1" a="1"/>
  <c r="AL14" i="1" s="1"/>
  <c r="I5" i="1"/>
  <c r="I16" i="1" s="1"/>
  <c r="AH6" i="1" s="1"/>
  <c r="H5" i="1"/>
  <c r="J5" i="1" s="1"/>
  <c r="G5" i="1"/>
  <c r="Q5" i="1" s="1"/>
  <c r="F5" i="1"/>
  <c r="I4" i="1"/>
  <c r="H4" i="1"/>
  <c r="J4" i="1" s="1"/>
  <c r="K4" i="1" s="1"/>
  <c r="G4" i="1"/>
  <c r="Q4" i="1" s="1"/>
  <c r="F4" i="1"/>
  <c r="I3" i="1"/>
  <c r="H3" i="1"/>
  <c r="G3" i="1"/>
  <c r="F3" i="1"/>
  <c r="AL12" i="2" l="1"/>
  <c r="AL16" i="2"/>
  <c r="AM14" i="1"/>
  <c r="AK15" i="1"/>
  <c r="AM13" i="1"/>
  <c r="AL7" i="2"/>
  <c r="AM7" i="2"/>
  <c r="AK9" i="1"/>
  <c r="AK8" i="2"/>
  <c r="AL9" i="1"/>
  <c r="AL8" i="2"/>
  <c r="AL13" i="1"/>
  <c r="AK9" i="2"/>
  <c r="H20" i="2"/>
  <c r="H21" i="2"/>
  <c r="J26" i="2"/>
  <c r="AK13" i="2"/>
  <c r="K26" i="2"/>
  <c r="AK8" i="1"/>
  <c r="AM6" i="2"/>
  <c r="AL13" i="2"/>
  <c r="AL8" i="1"/>
  <c r="AK7" i="2"/>
  <c r="AM13" i="2"/>
  <c r="H24" i="1"/>
  <c r="H25" i="1"/>
  <c r="P25" i="2"/>
  <c r="AM9" i="1"/>
  <c r="AL15" i="1"/>
  <c r="U5" i="2"/>
  <c r="G23" i="2"/>
  <c r="P26" i="2"/>
  <c r="AK5" i="1"/>
  <c r="AM10" i="1"/>
  <c r="AM15" i="1"/>
  <c r="U6" i="2"/>
  <c r="Q6" i="2" s="1"/>
  <c r="H23" i="2"/>
  <c r="AL5" i="1"/>
  <c r="AN5" i="1" s="1"/>
  <c r="AK11" i="1"/>
  <c r="AK16" i="1"/>
  <c r="L23" i="2"/>
  <c r="R25" i="2"/>
  <c r="AM5" i="1"/>
  <c r="AO5" i="1" s="1"/>
  <c r="AL11" i="1"/>
  <c r="AL16" i="1"/>
  <c r="AL9" i="2"/>
  <c r="AL14" i="2"/>
  <c r="F24" i="2"/>
  <c r="S25" i="2"/>
  <c r="AM6" i="1"/>
  <c r="AO6" i="1" s="1"/>
  <c r="AM11" i="1"/>
  <c r="H19" i="1"/>
  <c r="AK5" i="2"/>
  <c r="AM9" i="2"/>
  <c r="AM14" i="2"/>
  <c r="J24" i="2"/>
  <c r="R26" i="2"/>
  <c r="AK7" i="1"/>
  <c r="AK12" i="1"/>
  <c r="H20" i="1"/>
  <c r="AL5" i="2"/>
  <c r="AN5" i="2" s="1"/>
  <c r="AL10" i="2"/>
  <c r="AK15" i="2"/>
  <c r="K24" i="2"/>
  <c r="S26" i="2"/>
  <c r="AL7" i="1"/>
  <c r="AL12" i="1"/>
  <c r="AM5" i="2"/>
  <c r="AO5" i="2" s="1"/>
  <c r="AO6" i="2" s="1"/>
  <c r="AM10" i="2"/>
  <c r="AL15" i="2"/>
  <c r="F25" i="2"/>
  <c r="S28" i="2"/>
  <c r="AM7" i="1"/>
  <c r="AK13" i="1"/>
  <c r="AL6" i="2"/>
  <c r="AK11" i="2"/>
  <c r="AM15" i="2"/>
  <c r="J25" i="2"/>
  <c r="R29" i="2"/>
  <c r="L5" i="1"/>
  <c r="P5" i="1" s="1"/>
  <c r="R5" i="1"/>
  <c r="R4" i="1"/>
  <c r="L4" i="1"/>
  <c r="AG6" i="2"/>
  <c r="M11" i="1"/>
  <c r="N11" i="1" s="1"/>
  <c r="K11" i="1"/>
  <c r="O11" i="1" s="1"/>
  <c r="P11" i="1"/>
  <c r="K12" i="2"/>
  <c r="K7" i="1"/>
  <c r="O7" i="1"/>
  <c r="M15" i="1"/>
  <c r="K15" i="1"/>
  <c r="O15" i="1"/>
  <c r="N15" i="1"/>
  <c r="K5" i="2"/>
  <c r="K15" i="2"/>
  <c r="K6" i="1"/>
  <c r="J16" i="1"/>
  <c r="M5" i="1"/>
  <c r="N5" i="1" s="1"/>
  <c r="K8" i="1"/>
  <c r="L8" i="1"/>
  <c r="P8" i="1" s="1"/>
  <c r="L12" i="1"/>
  <c r="P12" i="1" s="1"/>
  <c r="R12" i="1"/>
  <c r="S12" i="1"/>
  <c r="L15" i="1"/>
  <c r="P15" i="1" s="1"/>
  <c r="R15" i="1"/>
  <c r="S15" i="1"/>
  <c r="G20" i="1"/>
  <c r="G21" i="1"/>
  <c r="J4" i="2"/>
  <c r="R22" i="2"/>
  <c r="S21" i="2"/>
  <c r="R21" i="2"/>
  <c r="S19" i="2"/>
  <c r="R19" i="2"/>
  <c r="S18" i="2"/>
  <c r="Q6" i="1"/>
  <c r="G19" i="1"/>
  <c r="R18" i="2"/>
  <c r="L24" i="2"/>
  <c r="S20" i="2"/>
  <c r="S4" i="1"/>
  <c r="Z4" i="1" s="1" a="1"/>
  <c r="S11" i="1"/>
  <c r="S22" i="2"/>
  <c r="K5" i="1"/>
  <c r="O5" i="1" s="1"/>
  <c r="K11" i="2"/>
  <c r="M14" i="1"/>
  <c r="S14" i="1"/>
  <c r="X7" i="1"/>
  <c r="R7" i="1"/>
  <c r="S7" i="1" s="1"/>
  <c r="L7" i="1"/>
  <c r="P7" i="1" s="1"/>
  <c r="L10" i="1"/>
  <c r="P10" i="1" s="1"/>
  <c r="K13" i="1"/>
  <c r="O13" i="1" s="1"/>
  <c r="H16" i="1"/>
  <c r="K6" i="2"/>
  <c r="K10" i="2"/>
  <c r="K13" i="2"/>
  <c r="G26" i="2"/>
  <c r="I24" i="2"/>
  <c r="F26" i="2"/>
  <c r="H24" i="2"/>
  <c r="L25" i="2"/>
  <c r="G24" i="2"/>
  <c r="I25" i="2"/>
  <c r="K23" i="2"/>
  <c r="L26" i="2"/>
  <c r="H25" i="2"/>
  <c r="J23" i="2"/>
  <c r="G25" i="2"/>
  <c r="I23" i="2"/>
  <c r="H26" i="2"/>
  <c r="K7" i="2"/>
  <c r="K12" i="1"/>
  <c r="F20" i="1"/>
  <c r="O12" i="1"/>
  <c r="R14" i="1"/>
  <c r="S5" i="1"/>
  <c r="O10" i="1"/>
  <c r="K10" i="1"/>
  <c r="M9" i="1"/>
  <c r="N9" i="1"/>
  <c r="M10" i="1"/>
  <c r="N10" i="1" s="1"/>
  <c r="N14" i="1"/>
  <c r="O14" i="1"/>
  <c r="K8" i="2"/>
  <c r="F23" i="2"/>
  <c r="I26" i="2"/>
  <c r="R27" i="2"/>
  <c r="S27" i="2"/>
  <c r="AM8" i="1"/>
  <c r="AM12" i="1"/>
  <c r="AM16" i="1"/>
  <c r="AM8" i="2"/>
  <c r="AM12" i="2"/>
  <c r="AM16" i="2"/>
  <c r="R28" i="2"/>
  <c r="S29" i="2"/>
  <c r="AK6" i="1"/>
  <c r="AK10" i="1"/>
  <c r="AK14" i="1"/>
  <c r="AK6" i="2"/>
  <c r="AK10" i="2"/>
  <c r="R24" i="2"/>
  <c r="R30" i="2"/>
  <c r="AL6" i="1"/>
  <c r="AL10" i="1"/>
  <c r="S24" i="2"/>
  <c r="AO7" i="2" l="1"/>
  <c r="AN6" i="2"/>
  <c r="AN7" i="2" s="1"/>
  <c r="Q13" i="2"/>
  <c r="L13" i="2" s="1"/>
  <c r="Q12" i="2"/>
  <c r="R12" i="2" s="1"/>
  <c r="AN6" i="1"/>
  <c r="AN7" i="1" s="1"/>
  <c r="Q15" i="2"/>
  <c r="Q11" i="2"/>
  <c r="Q10" i="2"/>
  <c r="Q14" i="2"/>
  <c r="G19" i="2" a="1"/>
  <c r="G21" i="2" s="1"/>
  <c r="Q8" i="2"/>
  <c r="R8" i="2" s="1"/>
  <c r="Q4" i="2"/>
  <c r="R4" i="2" s="1"/>
  <c r="Q5" i="2"/>
  <c r="L5" i="2" s="1"/>
  <c r="Q9" i="2"/>
  <c r="R9" i="2" s="1"/>
  <c r="Q7" i="2"/>
  <c r="R7" i="2" s="1"/>
  <c r="J16" i="2"/>
  <c r="K4" i="2"/>
  <c r="AH4" i="1"/>
  <c r="AH5" i="1" s="1"/>
  <c r="AH8" i="1" s="1"/>
  <c r="AG4" i="1"/>
  <c r="P4" i="1"/>
  <c r="L6" i="2"/>
  <c r="R6" i="2"/>
  <c r="S6" i="2" s="1"/>
  <c r="I19" i="1"/>
  <c r="J19" i="1" s="1"/>
  <c r="K19" i="1"/>
  <c r="L19" i="1"/>
  <c r="K21" i="1"/>
  <c r="I21" i="1"/>
  <c r="J21" i="1" s="1"/>
  <c r="L21" i="1"/>
  <c r="O8" i="1"/>
  <c r="S8" i="1"/>
  <c r="O4" i="1"/>
  <c r="R13" i="2"/>
  <c r="M8" i="1"/>
  <c r="N8" i="1" s="1"/>
  <c r="I20" i="1"/>
  <c r="J20" i="1" s="1"/>
  <c r="K20" i="1"/>
  <c r="L20" i="1"/>
  <c r="L6" i="1"/>
  <c r="R6" i="1"/>
  <c r="S6" i="1"/>
  <c r="AB5" i="1"/>
  <c r="AA5" i="1"/>
  <c r="Z4" i="1"/>
  <c r="AD4" i="1" s="1" a="1"/>
  <c r="AA4" i="1"/>
  <c r="AB6" i="1"/>
  <c r="Z6" i="1"/>
  <c r="AA6" i="1"/>
  <c r="Z5" i="1"/>
  <c r="AB4" i="1"/>
  <c r="AO7" i="1"/>
  <c r="X3" i="1"/>
  <c r="AG6" i="1"/>
  <c r="M12" i="1"/>
  <c r="N12" i="1" s="1"/>
  <c r="M4" i="1"/>
  <c r="M7" i="1"/>
  <c r="N7" i="1" s="1"/>
  <c r="AO8" i="2"/>
  <c r="S10" i="1"/>
  <c r="AI6" i="2"/>
  <c r="L12" i="2" l="1"/>
  <c r="P12" i="2" s="1"/>
  <c r="S13" i="2"/>
  <c r="L8" i="2"/>
  <c r="O8" i="2" s="1"/>
  <c r="S8" i="2"/>
  <c r="R5" i="2"/>
  <c r="S5" i="2" s="1"/>
  <c r="G20" i="2"/>
  <c r="L20" i="2" s="1"/>
  <c r="L4" i="2"/>
  <c r="S4" i="2" s="1"/>
  <c r="Z4" i="2" s="1" a="1"/>
  <c r="R11" i="2"/>
  <c r="L11" i="2"/>
  <c r="S11" i="2"/>
  <c r="L9" i="2"/>
  <c r="S9" i="2" s="1"/>
  <c r="R14" i="2"/>
  <c r="L14" i="2"/>
  <c r="R10" i="2"/>
  <c r="L10" i="2"/>
  <c r="G19" i="2"/>
  <c r="I19" i="2" s="1"/>
  <c r="J19" i="2" s="1"/>
  <c r="L15" i="2"/>
  <c r="R15" i="2"/>
  <c r="L7" i="2"/>
  <c r="O7" i="2" s="1"/>
  <c r="P6" i="2"/>
  <c r="M6" i="2"/>
  <c r="N6" i="2" s="1"/>
  <c r="P4" i="2"/>
  <c r="P16" i="2" s="1"/>
  <c r="AI6" i="1"/>
  <c r="AI8" i="1" s="1"/>
  <c r="AG5" i="1"/>
  <c r="AI5" i="1" s="1"/>
  <c r="AO9" i="2"/>
  <c r="P6" i="1"/>
  <c r="P16" i="1" s="1"/>
  <c r="M6" i="1"/>
  <c r="N6" i="1" s="1"/>
  <c r="O6" i="1"/>
  <c r="O16" i="1" s="1"/>
  <c r="X4" i="1" s="1"/>
  <c r="I20" i="2"/>
  <c r="J20" i="2" s="1"/>
  <c r="X3" i="2"/>
  <c r="AN8" i="1"/>
  <c r="P13" i="2"/>
  <c r="M13" i="2"/>
  <c r="N13" i="2" s="1"/>
  <c r="AN8" i="2"/>
  <c r="AG8" i="1"/>
  <c r="AI4" i="1"/>
  <c r="N4" i="1"/>
  <c r="L21" i="2"/>
  <c r="K21" i="2"/>
  <c r="I21" i="2"/>
  <c r="J21" i="2" s="1"/>
  <c r="O6" i="2"/>
  <c r="P5" i="2"/>
  <c r="O5" i="2"/>
  <c r="M5" i="2"/>
  <c r="N5" i="2" s="1"/>
  <c r="S12" i="2"/>
  <c r="AO8" i="1"/>
  <c r="AD6" i="1"/>
  <c r="AD5" i="1"/>
  <c r="AD4" i="1"/>
  <c r="O13" i="2"/>
  <c r="O12" i="2" l="1"/>
  <c r="M12" i="2"/>
  <c r="N12" i="2" s="1"/>
  <c r="K19" i="2"/>
  <c r="S15" i="2"/>
  <c r="S10" i="2"/>
  <c r="K20" i="2"/>
  <c r="O4" i="2"/>
  <c r="O16" i="2" s="1"/>
  <c r="X4" i="2" s="1"/>
  <c r="X6" i="2" s="1"/>
  <c r="X8" i="2" s="1"/>
  <c r="X10" i="2" s="1"/>
  <c r="S14" i="2"/>
  <c r="M8" i="2"/>
  <c r="N8" i="2" s="1"/>
  <c r="P8" i="2"/>
  <c r="O9" i="2"/>
  <c r="M9" i="2"/>
  <c r="N9" i="2" s="1"/>
  <c r="P9" i="2"/>
  <c r="M4" i="2"/>
  <c r="M16" i="2" s="1"/>
  <c r="S7" i="2"/>
  <c r="AA6" i="2"/>
  <c r="AA5" i="2"/>
  <c r="AB4" i="2"/>
  <c r="Z5" i="2"/>
  <c r="Z4" i="2"/>
  <c r="AD4" i="2" s="1" a="1"/>
  <c r="AD4" i="2" s="1"/>
  <c r="Z6" i="2"/>
  <c r="AB5" i="2"/>
  <c r="AA4" i="2"/>
  <c r="AB6" i="2"/>
  <c r="P14" i="2"/>
  <c r="M14" i="2"/>
  <c r="N14" i="2" s="1"/>
  <c r="O14" i="2"/>
  <c r="AH4" i="2"/>
  <c r="AH5" i="2" s="1"/>
  <c r="AH8" i="2" s="1"/>
  <c r="P11" i="2"/>
  <c r="M11" i="2"/>
  <c r="N11" i="2" s="1"/>
  <c r="O11" i="2"/>
  <c r="P7" i="2"/>
  <c r="AG4" i="2"/>
  <c r="AG8" i="2" s="1"/>
  <c r="M7" i="2"/>
  <c r="N7" i="2" s="1"/>
  <c r="P15" i="2"/>
  <c r="O15" i="2"/>
  <c r="M15" i="2"/>
  <c r="N15" i="2" s="1"/>
  <c r="L19" i="2"/>
  <c r="P10" i="2"/>
  <c r="M10" i="2"/>
  <c r="N10" i="2" s="1"/>
  <c r="O10" i="2"/>
  <c r="X12" i="1"/>
  <c r="X6" i="1"/>
  <c r="X8" i="1" s="1"/>
  <c r="X10" i="1" s="1"/>
  <c r="X13" i="1"/>
  <c r="X14" i="1" s="1"/>
  <c r="AN9" i="2"/>
  <c r="AO10" i="2"/>
  <c r="AO9" i="1"/>
  <c r="N16" i="1"/>
  <c r="M16" i="1"/>
  <c r="AN9" i="1"/>
  <c r="X13" i="2" l="1"/>
  <c r="X14" i="2" s="1"/>
  <c r="X12" i="2"/>
  <c r="N4" i="2"/>
  <c r="N16" i="2" s="1"/>
  <c r="AI4" i="2"/>
  <c r="AD5" i="2"/>
  <c r="AD6" i="2"/>
  <c r="AG5" i="2"/>
  <c r="AI5" i="2" s="1"/>
  <c r="AI8" i="2"/>
  <c r="AN10" i="1"/>
  <c r="AN10" i="2"/>
  <c r="AO10" i="1"/>
  <c r="AO11" i="2"/>
  <c r="AO12" i="2" l="1"/>
  <c r="AO11" i="1"/>
  <c r="AN11" i="2"/>
  <c r="AN11" i="1"/>
  <c r="AO13" i="2" l="1"/>
  <c r="AN12" i="1"/>
  <c r="AN12" i="2"/>
  <c r="AO12" i="1"/>
  <c r="AO13" i="1" l="1"/>
  <c r="AN13" i="2"/>
  <c r="AN13" i="1"/>
  <c r="AO14" i="2"/>
  <c r="AO15" i="2" l="1"/>
  <c r="AN14" i="1"/>
  <c r="AN14" i="2"/>
  <c r="AO14" i="1"/>
  <c r="AO15" i="1" l="1"/>
  <c r="AN15" i="2"/>
  <c r="AN15" i="1"/>
  <c r="AO16" i="2"/>
  <c r="AQ15" i="2" s="1"/>
  <c r="AQ16" i="2" l="1"/>
  <c r="AQ4" i="2"/>
  <c r="AQ6" i="2"/>
  <c r="AQ5" i="2"/>
  <c r="AQ7" i="2"/>
  <c r="AQ8" i="2"/>
  <c r="AQ9" i="2"/>
  <c r="AQ10" i="2"/>
  <c r="AQ11" i="2"/>
  <c r="AQ12" i="2"/>
  <c r="AQ13" i="2"/>
  <c r="AQ14" i="2"/>
  <c r="AN16" i="1"/>
  <c r="AP15" i="1" s="1"/>
  <c r="AN16" i="2"/>
  <c r="AO16" i="1"/>
  <c r="AQ15" i="1" s="1"/>
  <c r="AQ16" i="1" l="1"/>
  <c r="AQ4" i="1"/>
  <c r="AQ5" i="1"/>
  <c r="AQ6" i="1"/>
  <c r="AQ7" i="1"/>
  <c r="AQ8" i="1"/>
  <c r="AQ9" i="1"/>
  <c r="AQ10" i="1"/>
  <c r="AQ11" i="1"/>
  <c r="AQ12" i="1"/>
  <c r="AQ13" i="1"/>
  <c r="AQ14" i="1"/>
  <c r="AP16" i="2"/>
  <c r="AR16" i="2" s="1"/>
  <c r="AP4" i="2"/>
  <c r="AP5" i="2"/>
  <c r="AP6" i="2"/>
  <c r="AP7" i="2"/>
  <c r="AP8" i="2"/>
  <c r="AP9" i="2"/>
  <c r="AP10" i="2"/>
  <c r="AP11" i="2"/>
  <c r="AP12" i="2"/>
  <c r="AP13" i="2"/>
  <c r="AP14" i="2"/>
  <c r="AP15" i="2"/>
  <c r="AP16" i="1"/>
  <c r="AP4" i="1"/>
  <c r="AP5" i="1"/>
  <c r="AP6" i="1"/>
  <c r="AP7" i="1"/>
  <c r="AP8" i="1"/>
  <c r="AP9" i="1"/>
  <c r="AP10" i="1"/>
  <c r="AP11" i="1"/>
  <c r="AP12" i="1"/>
  <c r="AP13" i="1"/>
  <c r="AP14" i="1"/>
  <c r="AR16" i="1" l="1"/>
  <c r="AR14" i="1"/>
  <c r="AR15" i="2"/>
  <c r="AR12" i="1"/>
  <c r="AR13" i="2"/>
  <c r="AR11" i="1"/>
  <c r="AR10" i="1"/>
  <c r="AR11" i="2"/>
  <c r="AR10" i="2"/>
  <c r="AR9" i="2"/>
  <c r="AR8" i="2"/>
  <c r="AR6" i="1"/>
  <c r="AR5" i="1"/>
  <c r="AR6" i="2"/>
  <c r="AR4" i="1"/>
  <c r="AR17" i="1" s="1"/>
  <c r="AR5" i="2"/>
  <c r="AR4" i="2"/>
  <c r="AR17" i="2" s="1"/>
  <c r="AR12" i="2"/>
  <c r="AR9" i="1"/>
  <c r="AR8" i="1"/>
  <c r="AR7" i="1"/>
  <c r="AR7" i="2"/>
  <c r="AR13" i="1"/>
  <c r="AR14" i="2"/>
  <c r="AR15" i="1"/>
</calcChain>
</file>

<file path=xl/sharedStrings.xml><?xml version="1.0" encoding="utf-8"?>
<sst xmlns="http://schemas.openxmlformats.org/spreadsheetml/2006/main" count="114" uniqueCount="54">
  <si>
    <t>Probit Regression - Solver</t>
  </si>
  <si>
    <t>Probit Regression</t>
  </si>
  <si>
    <t>Classification Table</t>
  </si>
  <si>
    <t>ROC Table</t>
  </si>
  <si>
    <t>Temp</t>
  </si>
  <si>
    <t>Water</t>
  </si>
  <si>
    <t>Male</t>
  </si>
  <si>
    <t>Female</t>
  </si>
  <si>
    <t>Total</t>
  </si>
  <si>
    <t>p-Obs</t>
  </si>
  <si>
    <t>p-Pred</t>
  </si>
  <si>
    <t>Suc-Pred</t>
  </si>
  <si>
    <t>Fail-Pred</t>
  </si>
  <si>
    <t>LL</t>
  </si>
  <si>
    <t>% Correct</t>
  </si>
  <si>
    <t>Reg</t>
  </si>
  <si>
    <t>Phi</t>
  </si>
  <si>
    <t>V</t>
  </si>
  <si>
    <t>Coeff</t>
  </si>
  <si>
    <t>LL0</t>
  </si>
  <si>
    <t>Covariance Matrix</t>
  </si>
  <si>
    <t>Converge</t>
  </si>
  <si>
    <t>Suc-Obs</t>
  </si>
  <si>
    <t>Fail-Obs</t>
  </si>
  <si>
    <t>Failure</t>
  </si>
  <si>
    <t>Success</t>
  </si>
  <si>
    <t>Fail-Cum</t>
  </si>
  <si>
    <t>Suc-Cum</t>
  </si>
  <si>
    <t>FPR</t>
  </si>
  <si>
    <t>TPR</t>
  </si>
  <si>
    <t>AUC</t>
  </si>
  <si>
    <t>LL1</t>
  </si>
  <si>
    <t>Chi-Sq</t>
  </si>
  <si>
    <t>df</t>
  </si>
  <si>
    <t>p-value</t>
  </si>
  <si>
    <t>Accuracy</t>
  </si>
  <si>
    <t>alpha</t>
  </si>
  <si>
    <t>sig</t>
  </si>
  <si>
    <t>Cutoff</t>
  </si>
  <si>
    <t>R-Sq (L)</t>
  </si>
  <si>
    <t>R-Sq (CS)</t>
  </si>
  <si>
    <t>R-Sq (N)</t>
  </si>
  <si>
    <t>coeff b</t>
  </si>
  <si>
    <t>s.e.</t>
  </si>
  <si>
    <t>Wald</t>
  </si>
  <si>
    <t>lower</t>
  </si>
  <si>
    <t>upper</t>
  </si>
  <si>
    <t>Intercept</t>
  </si>
  <si>
    <t>p-Male</t>
  </si>
  <si>
    <t>Probit Regression - Newton's Method</t>
  </si>
  <si>
    <t>Real Statistics Using Excel</t>
  </si>
  <si>
    <t>Updated</t>
  </si>
  <si>
    <t>Copyright © 2013 - 2026 Charles Zaiontz</t>
  </si>
  <si>
    <t>Real Statistics Probit Capabilities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</si>
</sst>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9" xfId="0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ROC Curve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probit</c:v>
          </c:tx>
          <c:spPr>
            <a:ln w="19050">
              <a:noFill/>
            </a:ln>
          </c:spPr>
          <c:xVal>
            <c:numRef>
              <c:f>Solver!$AP$4:$AP$16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Solver!$AQ$4:$AQ$16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61-4C6A-A90F-D4DF6AE2D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824992"/>
        <c:axId val="736829696"/>
      </c:scatterChart>
      <c:valAx>
        <c:axId val="736824992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False Positive 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6829696"/>
        <c:crosses val="autoZero"/>
        <c:crossBetween val="midCat"/>
      </c:valAx>
      <c:valAx>
        <c:axId val="736829696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True Positive 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6824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ROC Curve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probit</c:v>
          </c:tx>
          <c:spPr>
            <a:ln w="19050">
              <a:noFill/>
            </a:ln>
          </c:spPr>
          <c:xVal>
            <c:numRef>
              <c:f>Newton!$AP$4:$AP$16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Newton!$AQ$4:$AQ$16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C5-4287-B34B-EE53B0512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830088"/>
        <c:axId val="736830480"/>
      </c:scatterChart>
      <c:valAx>
        <c:axId val="736830088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False Positive 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6830480"/>
        <c:crosses val="autoZero"/>
        <c:crossBetween val="midCat"/>
      </c:valAx>
      <c:valAx>
        <c:axId val="73683048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True Positive 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6830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342900</xdr:colOff>
      <xdr:row>12</xdr:row>
      <xdr:rowOff>19050</xdr:rowOff>
    </xdr:from>
    <xdr:to>
      <xdr:col>35</xdr:col>
      <xdr:colOff>38100</xdr:colOff>
      <xdr:row>26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CA06EE-E768-4B3F-82F0-5BD6086BA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11</xdr:row>
      <xdr:rowOff>66675</xdr:rowOff>
    </xdr:from>
    <xdr:to>
      <xdr:col>35</xdr:col>
      <xdr:colOff>342900</xdr:colOff>
      <xdr:row>25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7E7172-26C0-4B9D-953F-96BA2DBF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2%2025%20April%202022.xlsx" TargetMode="External"/><Relationship Id="rId1" Type="http://schemas.openxmlformats.org/officeDocument/2006/relationships/externalLinkPath" Target="/38f5cd2f1f925cfd/Documenti/A%20Real%20Statistics%202020/Examples/Real%20Statistics%20Examples%20Regression%202%2025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Roaming\Microsoft\AddIns\XRealStats.xlam" TargetMode="External"/><Relationship Id="rId1" Type="http://schemas.openxmlformats.org/officeDocument/2006/relationships/externalLinkPath" Target="/Users/user/AppData/Roaming/Microsoft/AddIn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Logit 1"/>
      <sheetName val="Logit 2"/>
      <sheetName val="Logit 3"/>
      <sheetName val="Logit 3a"/>
      <sheetName val="Logit 4"/>
      <sheetName val="Logit 4a"/>
      <sheetName val="Logit 5"/>
      <sheetName val="Logit 5a"/>
      <sheetName val="Logit 6"/>
      <sheetName val="Logit 6a"/>
      <sheetName val="Logit 7a"/>
      <sheetName val="Hosmer"/>
      <sheetName val="Probit 1"/>
      <sheetName val="Probit 2"/>
      <sheetName val="Norm"/>
      <sheetName val="Binary"/>
      <sheetName val="MLogit 1"/>
      <sheetName val="MLogit 2"/>
      <sheetName val="MLogit 3"/>
      <sheetName val="MLogit 3a"/>
      <sheetName val="MLogit 4"/>
      <sheetName val="MLogit 4a"/>
      <sheetName val="MLogit 4b"/>
      <sheetName val="MLogit 5"/>
      <sheetName val="MLogit 5a"/>
      <sheetName val="MLogit 6"/>
      <sheetName val="OLogit 1"/>
      <sheetName val="OLogit 2"/>
      <sheetName val="OLogit 3"/>
      <sheetName val="Logit A"/>
      <sheetName val="Logit B"/>
      <sheetName val="Logit C"/>
      <sheetName val="Logit D"/>
      <sheetName val="Probit A"/>
      <sheetName val="Probit B"/>
      <sheetName val="Probit C"/>
      <sheetName val="Probit D"/>
      <sheetName val="OLogit A"/>
      <sheetName val="OLogit B"/>
      <sheetName val="PReg 1"/>
      <sheetName val="PReg 2"/>
      <sheetName val="PReg 3"/>
      <sheetName val="Log Lin 1.1"/>
      <sheetName val="Log Lin 1.2"/>
      <sheetName val="Log Lin 1.3"/>
      <sheetName val="Log Lin 1.4"/>
      <sheetName val="Log Lin 2.1"/>
      <sheetName val="Log Lin 2.2"/>
      <sheetName val="Log Lin 2.3"/>
      <sheetName val="Log Lin 2.4"/>
      <sheetName val="Log Lin 2.5"/>
      <sheetName val="Kaplan"/>
      <sheetName val="Kaplan 1"/>
      <sheetName val="Kaplan 2"/>
      <sheetName val="Kaplan 3"/>
      <sheetName val="Kaplan 4"/>
      <sheetName val="Log-Rank"/>
      <sheetName val="Log-Rank 1"/>
      <sheetName val="Cox Reg 1"/>
      <sheetName val="Cox Reg 2"/>
      <sheetName val="Cox Reg 3"/>
      <sheetName val="Cox Reg 4"/>
      <sheetName val="Cox Reg 5"/>
      <sheetName val="Cox Reg 6"/>
      <sheetName val="Cox Reg 7"/>
      <sheetName val="Cox Reg 8"/>
      <sheetName val="IPFP 2.1"/>
      <sheetName val="IPFP 2.1a"/>
      <sheetName val="IPFP 2.2 "/>
      <sheetName val="IPFP 3.1"/>
      <sheetName val="IPFP 3.2"/>
      <sheetName val="IPFP 3.2a"/>
      <sheetName val="Miss 1"/>
      <sheetName val="Miss 2"/>
      <sheetName val="Miss 3"/>
      <sheetName val="Miss 4"/>
      <sheetName val="MI 1"/>
      <sheetName val="MI 2"/>
      <sheetName val="MI 3a"/>
      <sheetName val="MI 3"/>
      <sheetName val="MI 4"/>
      <sheetName val="MI 5"/>
      <sheetName val="MI 6"/>
      <sheetName val="MI 7"/>
      <sheetName val="MI 8"/>
      <sheetName val="MI 8a"/>
      <sheetName val="MI 9"/>
      <sheetName val="MI 9a"/>
      <sheetName val="FIML 1"/>
      <sheetName val="FIML 2"/>
      <sheetName val="FIML 2a"/>
      <sheetName val="FIML 2b"/>
      <sheetName val="FIML 2c"/>
      <sheetName val="FIML 3"/>
      <sheetName val="FIML 3a"/>
      <sheetName val="FIML 3b"/>
      <sheetName val="EM A"/>
      <sheetName val="EM B"/>
      <sheetName val="EM C"/>
      <sheetName val="EM D"/>
      <sheetName val="EM E"/>
      <sheetName val="EM F"/>
      <sheetName val="EM Norm 1"/>
      <sheetName val="EM Norm 2"/>
      <sheetName val="EM Patterns"/>
      <sheetName val="EM To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P4">
            <v>1</v>
          </cell>
          <cell r="AQ4">
            <v>1</v>
          </cell>
        </row>
        <row r="5">
          <cell r="AP5">
            <v>0.9349112426035503</v>
          </cell>
          <cell r="AQ5">
            <v>0.98659003831417624</v>
          </cell>
        </row>
        <row r="6">
          <cell r="AP6">
            <v>0.85207100591715978</v>
          </cell>
          <cell r="AQ6">
            <v>0.97892720306513414</v>
          </cell>
        </row>
        <row r="7">
          <cell r="AP7">
            <v>0.71597633136094674</v>
          </cell>
          <cell r="AQ7">
            <v>0.94636015325670497</v>
          </cell>
        </row>
        <row r="8">
          <cell r="AP8">
            <v>0.59467455621301779</v>
          </cell>
          <cell r="AQ8">
            <v>0.92528735632183912</v>
          </cell>
        </row>
        <row r="9">
          <cell r="AP9">
            <v>0.40236686390532539</v>
          </cell>
          <cell r="AQ9">
            <v>0.8122605363984674</v>
          </cell>
        </row>
        <row r="10">
          <cell r="AP10">
            <v>0.18639053254437865</v>
          </cell>
          <cell r="AQ10">
            <v>0.6954022988505747</v>
          </cell>
        </row>
        <row r="11">
          <cell r="AP11">
            <v>0.12426035502958577</v>
          </cell>
          <cell r="AQ11">
            <v>0.56513409961685823</v>
          </cell>
        </row>
        <row r="12">
          <cell r="AP12">
            <v>5.6213017751479244E-2</v>
          </cell>
          <cell r="AQ12">
            <v>0.39080459770114939</v>
          </cell>
        </row>
        <row r="13">
          <cell r="AP13">
            <v>2.9585798816568087E-2</v>
          </cell>
          <cell r="AQ13">
            <v>0.24712643678160917</v>
          </cell>
        </row>
        <row r="14">
          <cell r="AP14">
            <v>1.1834319526627168E-2</v>
          </cell>
          <cell r="AQ14">
            <v>7.4712643678160884E-2</v>
          </cell>
        </row>
        <row r="15">
          <cell r="AP15">
            <v>0</v>
          </cell>
          <cell r="AQ15">
            <v>4.0229885057471271E-2</v>
          </cell>
        </row>
        <row r="16">
          <cell r="AP16">
            <v>0</v>
          </cell>
          <cell r="AQ16">
            <v>0</v>
          </cell>
        </row>
      </sheetData>
      <sheetData sheetId="15">
        <row r="4">
          <cell r="AP4">
            <v>1</v>
          </cell>
          <cell r="AQ4">
            <v>1</v>
          </cell>
        </row>
        <row r="5">
          <cell r="AP5">
            <v>0.9349112426035503</v>
          </cell>
          <cell r="AQ5">
            <v>0.98659003831417624</v>
          </cell>
        </row>
        <row r="6">
          <cell r="AP6">
            <v>0.85207100591715978</v>
          </cell>
          <cell r="AQ6">
            <v>0.97892720306513414</v>
          </cell>
        </row>
        <row r="7">
          <cell r="AP7">
            <v>0.71597633136094674</v>
          </cell>
          <cell r="AQ7">
            <v>0.94636015325670497</v>
          </cell>
        </row>
        <row r="8">
          <cell r="AP8">
            <v>0.59467455621301779</v>
          </cell>
          <cell r="AQ8">
            <v>0.92528735632183912</v>
          </cell>
        </row>
        <row r="9">
          <cell r="AP9">
            <v>0.40236686390532539</v>
          </cell>
          <cell r="AQ9">
            <v>0.8122605363984674</v>
          </cell>
        </row>
        <row r="10">
          <cell r="AP10">
            <v>0.18639053254437865</v>
          </cell>
          <cell r="AQ10">
            <v>0.6954022988505747</v>
          </cell>
        </row>
        <row r="11">
          <cell r="AP11">
            <v>0.12426035502958577</v>
          </cell>
          <cell r="AQ11">
            <v>0.56513409961685823</v>
          </cell>
        </row>
        <row r="12">
          <cell r="AP12">
            <v>5.6213017751479244E-2</v>
          </cell>
          <cell r="AQ12">
            <v>0.39080459770114939</v>
          </cell>
        </row>
        <row r="13">
          <cell r="AP13">
            <v>2.9585798816568087E-2</v>
          </cell>
          <cell r="AQ13">
            <v>0.24712643678160917</v>
          </cell>
        </row>
        <row r="14">
          <cell r="AP14">
            <v>1.1834319526627168E-2</v>
          </cell>
          <cell r="AQ14">
            <v>7.4712643678160884E-2</v>
          </cell>
        </row>
        <row r="15">
          <cell r="AP15">
            <v>0</v>
          </cell>
          <cell r="AQ15">
            <v>4.0229885057471271E-2</v>
          </cell>
        </row>
        <row r="16">
          <cell r="AP16">
            <v>0</v>
          </cell>
          <cell r="AQ16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XRealStats"/>
      <sheetName val="Dict"/>
      <sheetName val="ADict"/>
    </sheetNames>
    <definedNames>
      <definedName name="DEsign"/>
      <definedName name="DIAG"/>
      <definedName name="ProbitCoeff"/>
      <definedName name="ProbitPred"/>
      <definedName name="ProbitPredC"/>
      <definedName name="ProbitRSquare"/>
      <definedName name="ProbitTest"/>
      <definedName name="SelectCol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2A32-A323-4C24-9894-9105AAE50865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50</v>
      </c>
    </row>
    <row r="2" spans="1:13" x14ac:dyDescent="0.35">
      <c r="A2" t="s">
        <v>53</v>
      </c>
    </row>
    <row r="4" spans="1:13" x14ac:dyDescent="0.35">
      <c r="A4" t="s">
        <v>51</v>
      </c>
      <c r="B4" s="30">
        <v>46023</v>
      </c>
    </row>
    <row r="6" spans="1:13" x14ac:dyDescent="0.35">
      <c r="A6" s="31" t="s">
        <v>52</v>
      </c>
    </row>
    <row r="10" spans="1:13" ht="18.5" x14ac:dyDescent="0.45">
      <c r="M10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76E7-4CC3-4879-BEAA-52D2AF32EFAC}">
  <sheetPr codeName="Sheet131"/>
  <dimension ref="A1:AR26"/>
  <sheetViews>
    <sheetView workbookViewId="0">
      <selection activeCell="D10" sqref="D10"/>
    </sheetView>
  </sheetViews>
  <sheetFormatPr defaultRowHeight="14.5" x14ac:dyDescent="0.35"/>
  <sheetData>
    <row r="1" spans="1:44" x14ac:dyDescent="0.35">
      <c r="A1" t="s">
        <v>0</v>
      </c>
      <c r="F1" t="s">
        <v>1</v>
      </c>
      <c r="AF1" t="s">
        <v>2</v>
      </c>
      <c r="AK1" t="s">
        <v>3</v>
      </c>
    </row>
    <row r="2" spans="1:44" ht="15" thickBot="1" x14ac:dyDescent="0.4"/>
    <row r="3" spans="1:44" ht="15" thickTop="1" x14ac:dyDescent="0.35">
      <c r="A3" s="1" t="s">
        <v>4</v>
      </c>
      <c r="B3" s="1" t="s">
        <v>5</v>
      </c>
      <c r="C3" s="1" t="s">
        <v>6</v>
      </c>
      <c r="D3" s="1" t="s">
        <v>7</v>
      </c>
      <c r="F3" s="2" t="str">
        <f>A3</f>
        <v>Temp</v>
      </c>
      <c r="G3" s="2" t="str">
        <f t="shared" ref="G3:I15" si="0">B3</f>
        <v>Water</v>
      </c>
      <c r="H3" s="2" t="str">
        <f t="shared" si="0"/>
        <v>Male</v>
      </c>
      <c r="I3" s="2" t="str">
        <f t="shared" si="0"/>
        <v>Female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U3" t="s">
        <v>18</v>
      </c>
      <c r="W3" t="s">
        <v>19</v>
      </c>
      <c r="X3" s="3">
        <f>H16*LN(H16/J16)+I16*LN(I16/J16)</f>
        <v>-576.26986120489823</v>
      </c>
      <c r="Z3" t="s">
        <v>20</v>
      </c>
      <c r="AD3" t="s">
        <v>21</v>
      </c>
      <c r="AG3" s="4" t="s">
        <v>22</v>
      </c>
      <c r="AH3" s="4" t="s">
        <v>23</v>
      </c>
      <c r="AK3" s="2" t="s">
        <v>10</v>
      </c>
      <c r="AL3" s="2" t="s">
        <v>24</v>
      </c>
      <c r="AM3" s="2" t="s">
        <v>25</v>
      </c>
      <c r="AN3" s="2" t="s">
        <v>26</v>
      </c>
      <c r="AO3" s="2" t="s">
        <v>27</v>
      </c>
      <c r="AP3" s="2" t="s">
        <v>28</v>
      </c>
      <c r="AQ3" s="2" t="s">
        <v>29</v>
      </c>
      <c r="AR3" s="2" t="s">
        <v>30</v>
      </c>
    </row>
    <row r="4" spans="1:44" x14ac:dyDescent="0.35">
      <c r="A4" s="5">
        <v>20</v>
      </c>
      <c r="B4" s="6">
        <v>0</v>
      </c>
      <c r="C4" s="5">
        <v>21</v>
      </c>
      <c r="D4" s="6">
        <v>0</v>
      </c>
      <c r="F4">
        <f t="shared" ref="F4:F15" si="1">A4</f>
        <v>20</v>
      </c>
      <c r="G4">
        <f t="shared" si="0"/>
        <v>0</v>
      </c>
      <c r="H4" s="7">
        <f t="shared" si="0"/>
        <v>21</v>
      </c>
      <c r="I4">
        <f t="shared" si="0"/>
        <v>0</v>
      </c>
      <c r="J4" s="8">
        <f>H4+I4</f>
        <v>21</v>
      </c>
      <c r="K4">
        <f>IF(J4=0,"",H4/J4)</f>
        <v>1</v>
      </c>
      <c r="L4">
        <f>NORMSDIST(Q4)</f>
        <v>0.9713352735823394</v>
      </c>
      <c r="M4" s="9">
        <f>J4*L4</f>
        <v>20.398040745229128</v>
      </c>
      <c r="N4" s="10">
        <f>J4-M4</f>
        <v>0.60195925477087187</v>
      </c>
      <c r="O4" s="9">
        <f>J4*(K4*LN(L4)+(1-K4)*LN(1-L4))</f>
        <v>-0.61075525110818218</v>
      </c>
      <c r="P4" s="10">
        <f>100*IF(L4&gt;=$AG$10,H4/J4,I4/J4)</f>
        <v>100</v>
      </c>
      <c r="Q4">
        <f>$U$5+MMULT(F4:G4,$U$6:$U$7)</f>
        <v>1.9007905463268742</v>
      </c>
      <c r="R4">
        <f>NORMDIST(Q4,0,1,FALSE)</f>
        <v>6.5517310834607045E-2</v>
      </c>
      <c r="S4">
        <f>(H4*(Q4*R4/L4+(R4/L4)^2)-I4*(Q4*R4/(1-L4)-(R4/(1-L4))^2))</f>
        <v>2.7879471819048667</v>
      </c>
      <c r="W4" t="s">
        <v>31</v>
      </c>
      <c r="X4" s="11">
        <f>O16</f>
        <v>-447.69607955173467</v>
      </c>
      <c r="Z4" s="9" t="e">
        <f t="array" aca="1" ref="Z4:AB6" ca="1">MINVERSE(MMULT(TRANSPOSE([2]!DEsign(F4:G15)),S4:S15*[2]!DEsign(F4:G15)))</f>
        <v>#NAME?</v>
      </c>
      <c r="AA4" s="12" t="e">
        <f ca="1"/>
        <v>#NAME?</v>
      </c>
      <c r="AB4" s="10" t="e">
        <f ca="1"/>
        <v>#NAME?</v>
      </c>
      <c r="AD4" s="3" t="e">
        <f t="array" aca="1" ref="AD4:AD6" ca="1">MMULT(Z4:AB6,MMULT(TRANSPOSE([2]!DEsign(F4:G15)),J4:J15*(K4:K15-L4:L15)))</f>
        <v>#NAME?</v>
      </c>
      <c r="AF4" t="s">
        <v>11</v>
      </c>
      <c r="AG4" s="9">
        <f>SUMIF(L4:L15,"&gt;="&amp;AG10,H4:H15)</f>
        <v>483</v>
      </c>
      <c r="AH4" s="10">
        <f>SUMIF(L4:L15,"&gt;="&amp;AG10,I4:I15)</f>
        <v>201</v>
      </c>
      <c r="AI4">
        <f>AG4+AH4</f>
        <v>684</v>
      </c>
      <c r="AN4">
        <v>0</v>
      </c>
      <c r="AO4">
        <v>0</v>
      </c>
      <c r="AP4" t="e">
        <f ca="1">1-AN4/AN$16</f>
        <v>#NAME?</v>
      </c>
      <c r="AQ4" t="e">
        <f ca="1">1-AO4/AO$16</f>
        <v>#NAME?</v>
      </c>
      <c r="AR4" t="e">
        <f ca="1">(AP4-AP5)*AQ4</f>
        <v>#NAME?</v>
      </c>
    </row>
    <row r="5" spans="1:44" x14ac:dyDescent="0.35">
      <c r="A5" s="17">
        <v>21</v>
      </c>
      <c r="B5" s="18">
        <v>0</v>
      </c>
      <c r="C5" s="17">
        <v>90</v>
      </c>
      <c r="D5" s="18">
        <v>6</v>
      </c>
      <c r="F5">
        <f t="shared" si="1"/>
        <v>21</v>
      </c>
      <c r="G5">
        <f t="shared" si="0"/>
        <v>0</v>
      </c>
      <c r="H5" s="7">
        <f t="shared" si="0"/>
        <v>90</v>
      </c>
      <c r="I5">
        <f t="shared" si="0"/>
        <v>6</v>
      </c>
      <c r="J5" s="8">
        <f t="shared" ref="J5:J15" si="2">H5+I5</f>
        <v>96</v>
      </c>
      <c r="K5">
        <f t="shared" ref="K5:K15" si="3">IF(J5=0,"",H5/J5)</f>
        <v>0.9375</v>
      </c>
      <c r="L5">
        <f t="shared" ref="L5:L15" si="4">NORMSDIST(Q5)</f>
        <v>0.89989664051861795</v>
      </c>
      <c r="M5" s="7">
        <f t="shared" ref="M5:M15" si="5">J5*L5</f>
        <v>86.39007748978733</v>
      </c>
      <c r="N5" s="8">
        <f t="shared" ref="N5:N15" si="6">J5-M5</f>
        <v>9.6099225102126695</v>
      </c>
      <c r="O5" s="7">
        <f t="shared" ref="O5:O15" si="7">J5*(K5*LN(L5)+(1-K5)*LN(1-L5))</f>
        <v>-23.302095142727516</v>
      </c>
      <c r="P5" s="8">
        <f t="shared" ref="P5:P15" si="8">100*IF(L5&gt;=$AG$10,H5/J5,I5/J5)</f>
        <v>93.75</v>
      </c>
      <c r="Q5">
        <f t="shared" ref="Q5:Q15" si="9">$U$5+MMULT(F5:G5,$U$6:$U$7)</f>
        <v>1.280962839146925</v>
      </c>
      <c r="R5">
        <f t="shared" ref="R5:R15" si="10">NORMDIST(Q5,0,1,FALSE)</f>
        <v>0.17563076200861324</v>
      </c>
      <c r="S5">
        <f t="shared" ref="S5:S15" si="11">(H5*(Q5*R5/L5+(R5/L5)^2)-I5*(Q5*R5/(1-L5)-(R5/(1-L5))^2))</f>
        <v>30.91321888541664</v>
      </c>
      <c r="U5" s="3">
        <v>14.297344689925856</v>
      </c>
      <c r="Z5" s="7" t="e">
        <f ca="1"/>
        <v>#NAME?</v>
      </c>
      <c r="AA5" t="e">
        <f ca="1"/>
        <v>#NAME?</v>
      </c>
      <c r="AB5" s="8" t="e">
        <f ca="1"/>
        <v>#NAME?</v>
      </c>
      <c r="AD5" s="16" t="e">
        <f ca="1"/>
        <v>#NAME?</v>
      </c>
      <c r="AF5" t="s">
        <v>12</v>
      </c>
      <c r="AG5" s="13">
        <f>AG6-AG4</f>
        <v>39</v>
      </c>
      <c r="AH5" s="15">
        <f>AH6-AH4</f>
        <v>137</v>
      </c>
      <c r="AI5">
        <f>AG5+AH5</f>
        <v>176</v>
      </c>
      <c r="AK5" t="e">
        <f t="array" aca="1" ref="AK5:AM16" ca="1">[2]!SelectCols(H4:L15,"5,2,1",1)</f>
        <v>#NAME?</v>
      </c>
      <c r="AL5" t="e">
        <f ca="1"/>
        <v>#NAME?</v>
      </c>
      <c r="AM5" t="e">
        <f ca="1"/>
        <v>#NAME?</v>
      </c>
      <c r="AN5" t="e">
        <f ca="1">AN4+AL5</f>
        <v>#NAME?</v>
      </c>
      <c r="AO5" t="e">
        <f ca="1">AO4+AM5</f>
        <v>#NAME?</v>
      </c>
      <c r="AP5" t="e">
        <f t="shared" ref="AP5:AQ16" ca="1" si="12">1-AN5/AN$16</f>
        <v>#NAME?</v>
      </c>
      <c r="AQ5" t="e">
        <f t="shared" ca="1" si="12"/>
        <v>#NAME?</v>
      </c>
      <c r="AR5" t="e">
        <f t="shared" ref="AR5:AR16" ca="1" si="13">(AP5-AP6)*AQ5</f>
        <v>#NAME?</v>
      </c>
    </row>
    <row r="6" spans="1:44" x14ac:dyDescent="0.35">
      <c r="A6" s="17">
        <v>22</v>
      </c>
      <c r="B6" s="18">
        <v>0</v>
      </c>
      <c r="C6" s="17">
        <v>91</v>
      </c>
      <c r="D6" s="18">
        <v>23</v>
      </c>
      <c r="F6">
        <f t="shared" si="1"/>
        <v>22</v>
      </c>
      <c r="G6">
        <f t="shared" si="0"/>
        <v>0</v>
      </c>
      <c r="H6" s="7">
        <f t="shared" si="0"/>
        <v>91</v>
      </c>
      <c r="I6">
        <f t="shared" si="0"/>
        <v>23</v>
      </c>
      <c r="J6" s="8">
        <f t="shared" si="2"/>
        <v>114</v>
      </c>
      <c r="K6">
        <f t="shared" si="3"/>
        <v>0.79824561403508776</v>
      </c>
      <c r="L6">
        <f t="shared" si="4"/>
        <v>0.74573717160976449</v>
      </c>
      <c r="M6" s="7">
        <f t="shared" si="5"/>
        <v>85.014037563513156</v>
      </c>
      <c r="N6" s="8">
        <f t="shared" si="6"/>
        <v>28.985962436486844</v>
      </c>
      <c r="O6" s="7">
        <f t="shared" si="7"/>
        <v>-58.193663412578331</v>
      </c>
      <c r="P6" s="8">
        <f t="shared" si="8"/>
        <v>79.824561403508781</v>
      </c>
      <c r="Q6">
        <f t="shared" si="9"/>
        <v>0.66113513196697582</v>
      </c>
      <c r="R6">
        <f t="shared" si="10"/>
        <v>0.32062330020848245</v>
      </c>
      <c r="S6">
        <f t="shared" si="11"/>
        <v>60.085532339989818</v>
      </c>
      <c r="U6" s="16">
        <v>-0.61982770717994906</v>
      </c>
      <c r="W6" t="s">
        <v>32</v>
      </c>
      <c r="X6" s="3">
        <f>2*(X4-X3)</f>
        <v>257.14756330632713</v>
      </c>
      <c r="Z6" s="13" t="e">
        <f ca="1"/>
        <v>#NAME?</v>
      </c>
      <c r="AA6" s="14" t="e">
        <f ca="1"/>
        <v>#NAME?</v>
      </c>
      <c r="AB6" s="15" t="e">
        <f ca="1"/>
        <v>#NAME?</v>
      </c>
      <c r="AD6" s="11" t="e">
        <f ca="1"/>
        <v>#NAME?</v>
      </c>
      <c r="AG6">
        <f>H16</f>
        <v>522</v>
      </c>
      <c r="AH6">
        <f>I16</f>
        <v>338</v>
      </c>
      <c r="AI6">
        <f>AG6+AH6</f>
        <v>860</v>
      </c>
      <c r="AK6" t="e">
        <f ca="1"/>
        <v>#NAME?</v>
      </c>
      <c r="AL6" t="e">
        <f ca="1"/>
        <v>#NAME?</v>
      </c>
      <c r="AM6" t="e">
        <f ca="1"/>
        <v>#NAME?</v>
      </c>
      <c r="AN6" t="e">
        <f t="shared" ref="AN6:AO16" ca="1" si="14">AN5+AL6</f>
        <v>#NAME?</v>
      </c>
      <c r="AO6" t="e">
        <f t="shared" ca="1" si="14"/>
        <v>#NAME?</v>
      </c>
      <c r="AP6" t="e">
        <f t="shared" ca="1" si="12"/>
        <v>#NAME?</v>
      </c>
      <c r="AQ6" t="e">
        <f t="shared" ca="1" si="12"/>
        <v>#NAME?</v>
      </c>
      <c r="AR6" t="e">
        <f t="shared" ca="1" si="13"/>
        <v>#NAME?</v>
      </c>
    </row>
    <row r="7" spans="1:44" x14ac:dyDescent="0.35">
      <c r="A7" s="17">
        <v>23</v>
      </c>
      <c r="B7" s="18">
        <v>0</v>
      </c>
      <c r="C7" s="17">
        <v>61</v>
      </c>
      <c r="D7" s="18">
        <v>73</v>
      </c>
      <c r="F7">
        <f t="shared" si="1"/>
        <v>23</v>
      </c>
      <c r="G7">
        <f t="shared" si="0"/>
        <v>0</v>
      </c>
      <c r="H7" s="7">
        <f t="shared" si="0"/>
        <v>61</v>
      </c>
      <c r="I7">
        <f t="shared" si="0"/>
        <v>73</v>
      </c>
      <c r="J7" s="8">
        <f t="shared" si="2"/>
        <v>134</v>
      </c>
      <c r="K7">
        <f t="shared" si="3"/>
        <v>0.45522388059701491</v>
      </c>
      <c r="L7">
        <f t="shared" si="4"/>
        <v>0.51647459300001919</v>
      </c>
      <c r="M7" s="7">
        <f t="shared" si="5"/>
        <v>69.207595462002573</v>
      </c>
      <c r="N7" s="8">
        <f t="shared" si="6"/>
        <v>64.792404537997427</v>
      </c>
      <c r="O7" s="7">
        <f t="shared" si="7"/>
        <v>-93.350033591605438</v>
      </c>
      <c r="P7" s="8">
        <f t="shared" si="8"/>
        <v>45.522388059701491</v>
      </c>
      <c r="Q7">
        <f t="shared" si="9"/>
        <v>4.1307424787026648E-2</v>
      </c>
      <c r="R7">
        <f t="shared" si="10"/>
        <v>0.39860206727550312</v>
      </c>
      <c r="S7">
        <f t="shared" si="11"/>
        <v>85.40199747069758</v>
      </c>
      <c r="U7" s="11">
        <v>-4.1213127481863371E-2</v>
      </c>
      <c r="W7" t="s">
        <v>33</v>
      </c>
      <c r="X7" s="16">
        <f>COUNT(F4:G4)</f>
        <v>2</v>
      </c>
      <c r="AK7" t="e">
        <f ca="1"/>
        <v>#NAME?</v>
      </c>
      <c r="AL7" t="e">
        <f ca="1"/>
        <v>#NAME?</v>
      </c>
      <c r="AM7" t="e">
        <f ca="1"/>
        <v>#NAME?</v>
      </c>
      <c r="AN7" t="e">
        <f t="shared" ca="1" si="14"/>
        <v>#NAME?</v>
      </c>
      <c r="AO7" t="e">
        <f t="shared" ca="1" si="14"/>
        <v>#NAME?</v>
      </c>
      <c r="AP7" t="e">
        <f t="shared" ca="1" si="12"/>
        <v>#NAME?</v>
      </c>
      <c r="AQ7" t="e">
        <f t="shared" ca="1" si="12"/>
        <v>#NAME?</v>
      </c>
      <c r="AR7" t="e">
        <f t="shared" ca="1" si="13"/>
        <v>#NAME?</v>
      </c>
    </row>
    <row r="8" spans="1:44" x14ac:dyDescent="0.35">
      <c r="A8" s="17">
        <v>24</v>
      </c>
      <c r="B8" s="18">
        <v>0</v>
      </c>
      <c r="C8" s="17">
        <v>11</v>
      </c>
      <c r="D8" s="18">
        <v>41</v>
      </c>
      <c r="F8">
        <f t="shared" si="1"/>
        <v>24</v>
      </c>
      <c r="G8">
        <f t="shared" si="0"/>
        <v>0</v>
      </c>
      <c r="H8" s="7">
        <f t="shared" si="0"/>
        <v>11</v>
      </c>
      <c r="I8">
        <f t="shared" si="0"/>
        <v>41</v>
      </c>
      <c r="J8" s="8">
        <f t="shared" si="2"/>
        <v>52</v>
      </c>
      <c r="K8">
        <f t="shared" si="3"/>
        <v>0.21153846153846154</v>
      </c>
      <c r="L8">
        <f t="shared" si="4"/>
        <v>0.28145645397763269</v>
      </c>
      <c r="M8" s="7">
        <f t="shared" si="5"/>
        <v>14.635735606836899</v>
      </c>
      <c r="N8" s="8">
        <f t="shared" si="6"/>
        <v>37.364264393163097</v>
      </c>
      <c r="O8" s="7">
        <f t="shared" si="7"/>
        <v>-27.497240604217648</v>
      </c>
      <c r="P8" s="8">
        <f t="shared" si="8"/>
        <v>78.84615384615384</v>
      </c>
      <c r="Q8">
        <f t="shared" si="9"/>
        <v>-0.57852028239292075</v>
      </c>
      <c r="R8">
        <f t="shared" si="10"/>
        <v>0.33746907861860265</v>
      </c>
      <c r="S8">
        <f t="shared" si="11"/>
        <v>28.367347400963443</v>
      </c>
      <c r="W8" t="s">
        <v>34</v>
      </c>
      <c r="X8" s="16">
        <f>CHIDIST(X6,X7)</f>
        <v>1.4491592410467178E-56</v>
      </c>
      <c r="AF8" t="s">
        <v>35</v>
      </c>
      <c r="AG8" s="20">
        <f>AG4/AG6</f>
        <v>0.92528735632183912</v>
      </c>
      <c r="AH8" s="21">
        <f>AH5/AH6</f>
        <v>0.40532544378698226</v>
      </c>
      <c r="AI8">
        <f>(AG4+AH5)/AI6</f>
        <v>0.72093023255813948</v>
      </c>
      <c r="AK8" t="e">
        <f ca="1"/>
        <v>#NAME?</v>
      </c>
      <c r="AL8" t="e">
        <f ca="1"/>
        <v>#NAME?</v>
      </c>
      <c r="AM8" t="e">
        <f ca="1"/>
        <v>#NAME?</v>
      </c>
      <c r="AN8" t="e">
        <f t="shared" ca="1" si="14"/>
        <v>#NAME?</v>
      </c>
      <c r="AO8" t="e">
        <f t="shared" ca="1" si="14"/>
        <v>#NAME?</v>
      </c>
      <c r="AP8" t="e">
        <f t="shared" ca="1" si="12"/>
        <v>#NAME?</v>
      </c>
      <c r="AQ8" t="e">
        <f t="shared" ca="1" si="12"/>
        <v>#NAME?</v>
      </c>
      <c r="AR8" t="e">
        <f t="shared" ca="1" si="13"/>
        <v>#NAME?</v>
      </c>
    </row>
    <row r="9" spans="1:44" x14ac:dyDescent="0.35">
      <c r="A9" s="17">
        <v>25</v>
      </c>
      <c r="B9" s="18">
        <v>0</v>
      </c>
      <c r="C9" s="17">
        <v>4</v>
      </c>
      <c r="D9" s="18">
        <v>28</v>
      </c>
      <c r="F9">
        <f t="shared" si="1"/>
        <v>25</v>
      </c>
      <c r="G9">
        <f t="shared" si="0"/>
        <v>0</v>
      </c>
      <c r="H9" s="7">
        <f t="shared" si="0"/>
        <v>4</v>
      </c>
      <c r="I9">
        <f t="shared" si="0"/>
        <v>28</v>
      </c>
      <c r="J9" s="8">
        <f t="shared" si="2"/>
        <v>32</v>
      </c>
      <c r="K9">
        <f t="shared" si="3"/>
        <v>0.125</v>
      </c>
      <c r="L9">
        <f t="shared" si="4"/>
        <v>0.11539078564981185</v>
      </c>
      <c r="M9" s="7">
        <f t="shared" si="5"/>
        <v>3.6925051407939793</v>
      </c>
      <c r="N9" s="8">
        <f t="shared" si="6"/>
        <v>28.30749485920602</v>
      </c>
      <c r="O9" s="7">
        <f t="shared" si="7"/>
        <v>-12.070783422179284</v>
      </c>
      <c r="P9" s="8">
        <f t="shared" si="8"/>
        <v>87.5</v>
      </c>
      <c r="Q9">
        <f t="shared" si="9"/>
        <v>-1.1983479895728699</v>
      </c>
      <c r="R9">
        <f t="shared" si="10"/>
        <v>0.19457112816634303</v>
      </c>
      <c r="S9">
        <f t="shared" si="11"/>
        <v>12.025201890937167</v>
      </c>
      <c r="W9" t="s">
        <v>36</v>
      </c>
      <c r="X9" s="16">
        <v>0.05</v>
      </c>
      <c r="AK9" t="e">
        <f ca="1"/>
        <v>#NAME?</v>
      </c>
      <c r="AL9" t="e">
        <f ca="1"/>
        <v>#NAME?</v>
      </c>
      <c r="AM9" t="e">
        <f ca="1"/>
        <v>#NAME?</v>
      </c>
      <c r="AN9" t="e">
        <f t="shared" ca="1" si="14"/>
        <v>#NAME?</v>
      </c>
      <c r="AO9" t="e">
        <f t="shared" ca="1" si="14"/>
        <v>#NAME?</v>
      </c>
      <c r="AP9" t="e">
        <f t="shared" ca="1" si="12"/>
        <v>#NAME?</v>
      </c>
      <c r="AQ9" t="e">
        <f t="shared" ca="1" si="12"/>
        <v>#NAME?</v>
      </c>
      <c r="AR9" t="e">
        <f t="shared" ca="1" si="13"/>
        <v>#NAME?</v>
      </c>
    </row>
    <row r="10" spans="1:44" x14ac:dyDescent="0.35">
      <c r="A10" s="17">
        <v>20</v>
      </c>
      <c r="B10" s="18">
        <v>1</v>
      </c>
      <c r="C10" s="17">
        <v>18</v>
      </c>
      <c r="D10" s="18">
        <v>4</v>
      </c>
      <c r="F10">
        <f t="shared" si="1"/>
        <v>20</v>
      </c>
      <c r="G10">
        <f t="shared" si="0"/>
        <v>1</v>
      </c>
      <c r="H10" s="7">
        <f t="shared" si="0"/>
        <v>18</v>
      </c>
      <c r="I10">
        <f t="shared" si="0"/>
        <v>4</v>
      </c>
      <c r="J10" s="8">
        <f t="shared" si="2"/>
        <v>22</v>
      </c>
      <c r="K10">
        <f t="shared" si="3"/>
        <v>0.81818181818181823</v>
      </c>
      <c r="L10">
        <f t="shared" si="4"/>
        <v>0.96852733171170524</v>
      </c>
      <c r="M10" s="7">
        <f t="shared" si="5"/>
        <v>21.307601297657516</v>
      </c>
      <c r="N10" s="8">
        <f t="shared" si="6"/>
        <v>0.69239870234248357</v>
      </c>
      <c r="O10" s="7">
        <f t="shared" si="7"/>
        <v>-14.410157498410525</v>
      </c>
      <c r="P10" s="8">
        <f t="shared" si="8"/>
        <v>81.818181818181827</v>
      </c>
      <c r="Q10">
        <f t="shared" si="9"/>
        <v>1.85957741884501</v>
      </c>
      <c r="R10">
        <f t="shared" si="10"/>
        <v>7.0796011009474219E-2</v>
      </c>
      <c r="S10">
        <f t="shared" si="11"/>
        <v>6.0508267910859361</v>
      </c>
      <c r="W10" t="s">
        <v>37</v>
      </c>
      <c r="X10" s="22" t="str">
        <f>IF(X8&lt;X9,"yes","no")</f>
        <v>yes</v>
      </c>
      <c r="AF10" t="s">
        <v>38</v>
      </c>
      <c r="AG10" s="23">
        <v>0.5</v>
      </c>
      <c r="AK10" t="e">
        <f ca="1"/>
        <v>#NAME?</v>
      </c>
      <c r="AL10" t="e">
        <f ca="1"/>
        <v>#NAME?</v>
      </c>
      <c r="AM10" t="e">
        <f ca="1"/>
        <v>#NAME?</v>
      </c>
      <c r="AN10" t="e">
        <f t="shared" ca="1" si="14"/>
        <v>#NAME?</v>
      </c>
      <c r="AO10" t="e">
        <f t="shared" ca="1" si="14"/>
        <v>#NAME?</v>
      </c>
      <c r="AP10" t="e">
        <f t="shared" ca="1" si="12"/>
        <v>#NAME?</v>
      </c>
      <c r="AQ10" t="e">
        <f t="shared" ca="1" si="12"/>
        <v>#NAME?</v>
      </c>
      <c r="AR10" t="e">
        <f t="shared" ca="1" si="13"/>
        <v>#NAME?</v>
      </c>
    </row>
    <row r="11" spans="1:44" x14ac:dyDescent="0.35">
      <c r="A11" s="17">
        <v>21</v>
      </c>
      <c r="B11" s="18">
        <v>1</v>
      </c>
      <c r="C11" s="17">
        <v>75</v>
      </c>
      <c r="D11" s="18">
        <v>9</v>
      </c>
      <c r="F11">
        <f t="shared" si="1"/>
        <v>21</v>
      </c>
      <c r="G11">
        <f t="shared" si="0"/>
        <v>1</v>
      </c>
      <c r="H11" s="7">
        <f t="shared" si="0"/>
        <v>75</v>
      </c>
      <c r="I11">
        <f t="shared" si="0"/>
        <v>9</v>
      </c>
      <c r="J11" s="8">
        <f t="shared" si="2"/>
        <v>84</v>
      </c>
      <c r="K11">
        <f t="shared" si="3"/>
        <v>0.8928571428571429</v>
      </c>
      <c r="L11">
        <f t="shared" si="4"/>
        <v>0.89246600809817322</v>
      </c>
      <c r="M11" s="7">
        <f t="shared" si="5"/>
        <v>74.967144680246548</v>
      </c>
      <c r="N11" s="8">
        <f t="shared" si="6"/>
        <v>9.0328553197534518</v>
      </c>
      <c r="O11" s="7">
        <f t="shared" si="7"/>
        <v>-28.602048415286578</v>
      </c>
      <c r="P11" s="8">
        <f t="shared" si="8"/>
        <v>89.285714285714292</v>
      </c>
      <c r="Q11">
        <f t="shared" si="9"/>
        <v>1.2397497116650609</v>
      </c>
      <c r="R11">
        <f t="shared" si="10"/>
        <v>0.18499468075525541</v>
      </c>
      <c r="S11">
        <f t="shared" si="11"/>
        <v>29.93706976919767</v>
      </c>
      <c r="AK11" t="e">
        <f ca="1"/>
        <v>#NAME?</v>
      </c>
      <c r="AL11" t="e">
        <f ca="1"/>
        <v>#NAME?</v>
      </c>
      <c r="AM11" t="e">
        <f ca="1"/>
        <v>#NAME?</v>
      </c>
      <c r="AN11" t="e">
        <f t="shared" ca="1" si="14"/>
        <v>#NAME?</v>
      </c>
      <c r="AO11" t="e">
        <f t="shared" ca="1" si="14"/>
        <v>#NAME?</v>
      </c>
      <c r="AP11" t="e">
        <f t="shared" ca="1" si="12"/>
        <v>#NAME?</v>
      </c>
      <c r="AQ11" t="e">
        <f t="shared" ca="1" si="12"/>
        <v>#NAME?</v>
      </c>
      <c r="AR11" t="e">
        <f t="shared" ca="1" si="13"/>
        <v>#NAME?</v>
      </c>
    </row>
    <row r="12" spans="1:44" x14ac:dyDescent="0.35">
      <c r="A12" s="17">
        <v>22</v>
      </c>
      <c r="B12" s="18">
        <v>1</v>
      </c>
      <c r="C12" s="17">
        <v>68</v>
      </c>
      <c r="D12" s="18">
        <v>21</v>
      </c>
      <c r="F12">
        <f t="shared" si="1"/>
        <v>22</v>
      </c>
      <c r="G12">
        <f t="shared" si="0"/>
        <v>1</v>
      </c>
      <c r="H12" s="7">
        <f t="shared" si="0"/>
        <v>68</v>
      </c>
      <c r="I12">
        <f t="shared" si="0"/>
        <v>21</v>
      </c>
      <c r="J12" s="8">
        <f t="shared" si="2"/>
        <v>89</v>
      </c>
      <c r="K12">
        <f t="shared" si="3"/>
        <v>0.7640449438202247</v>
      </c>
      <c r="L12">
        <f t="shared" si="4"/>
        <v>0.73234543103773708</v>
      </c>
      <c r="M12" s="7">
        <f t="shared" si="5"/>
        <v>65.178743362358603</v>
      </c>
      <c r="N12" s="8">
        <f t="shared" si="6"/>
        <v>23.821256637641397</v>
      </c>
      <c r="O12" s="7">
        <f t="shared" si="7"/>
        <v>-48.861421452595778</v>
      </c>
      <c r="P12" s="8">
        <f t="shared" si="8"/>
        <v>76.404494382022463</v>
      </c>
      <c r="Q12">
        <f t="shared" si="9"/>
        <v>0.6199220044851117</v>
      </c>
      <c r="R12">
        <f t="shared" si="10"/>
        <v>0.32919987857530364</v>
      </c>
      <c r="S12">
        <f t="shared" si="11"/>
        <v>48.445563305892613</v>
      </c>
      <c r="W12" t="s">
        <v>39</v>
      </c>
      <c r="X12" s="3">
        <f>1-X4/X3</f>
        <v>0.22311384007543633</v>
      </c>
      <c r="AK12" t="e">
        <f ca="1"/>
        <v>#NAME?</v>
      </c>
      <c r="AL12" t="e">
        <f ca="1"/>
        <v>#NAME?</v>
      </c>
      <c r="AM12" t="e">
        <f ca="1"/>
        <v>#NAME?</v>
      </c>
      <c r="AN12" t="e">
        <f t="shared" ca="1" si="14"/>
        <v>#NAME?</v>
      </c>
      <c r="AO12" t="e">
        <f t="shared" ca="1" si="14"/>
        <v>#NAME?</v>
      </c>
      <c r="AP12" t="e">
        <f t="shared" ca="1" si="12"/>
        <v>#NAME?</v>
      </c>
      <c r="AQ12" t="e">
        <f t="shared" ca="1" si="12"/>
        <v>#NAME?</v>
      </c>
      <c r="AR12" t="e">
        <f t="shared" ca="1" si="13"/>
        <v>#NAME?</v>
      </c>
    </row>
    <row r="13" spans="1:44" x14ac:dyDescent="0.35">
      <c r="A13" s="17">
        <v>23</v>
      </c>
      <c r="B13" s="18">
        <v>1</v>
      </c>
      <c r="C13" s="17">
        <v>59</v>
      </c>
      <c r="D13" s="18">
        <v>65</v>
      </c>
      <c r="F13">
        <f t="shared" si="1"/>
        <v>23</v>
      </c>
      <c r="G13">
        <f t="shared" si="0"/>
        <v>1</v>
      </c>
      <c r="H13" s="7">
        <f t="shared" si="0"/>
        <v>59</v>
      </c>
      <c r="I13">
        <f t="shared" si="0"/>
        <v>65</v>
      </c>
      <c r="J13" s="8">
        <f t="shared" si="2"/>
        <v>124</v>
      </c>
      <c r="K13">
        <f t="shared" si="3"/>
        <v>0.47580645161290325</v>
      </c>
      <c r="L13">
        <f t="shared" si="4"/>
        <v>0.50003761918190148</v>
      </c>
      <c r="M13" s="7">
        <f t="shared" si="5"/>
        <v>62.004664778555785</v>
      </c>
      <c r="N13" s="8">
        <f t="shared" si="6"/>
        <v>61.995335221444215</v>
      </c>
      <c r="O13" s="7">
        <f t="shared" si="7"/>
        <v>-85.950702170587206</v>
      </c>
      <c r="P13" s="8">
        <f t="shared" si="8"/>
        <v>47.580645161290327</v>
      </c>
      <c r="Q13">
        <f t="shared" si="9"/>
        <v>9.4297305162527323E-5</v>
      </c>
      <c r="R13">
        <f t="shared" si="10"/>
        <v>0.39894227862773896</v>
      </c>
      <c r="S13">
        <f t="shared" si="11"/>
        <v>78.940975058884504</v>
      </c>
      <c r="W13" t="s">
        <v>40</v>
      </c>
      <c r="X13" s="16">
        <f>1-EXP((-2/J16)*(X4-X3))</f>
        <v>0.25844711221186234</v>
      </c>
      <c r="AK13" t="e">
        <f ca="1"/>
        <v>#NAME?</v>
      </c>
      <c r="AL13" t="e">
        <f ca="1"/>
        <v>#NAME?</v>
      </c>
      <c r="AM13" t="e">
        <f ca="1"/>
        <v>#NAME?</v>
      </c>
      <c r="AN13" t="e">
        <f t="shared" ca="1" si="14"/>
        <v>#NAME?</v>
      </c>
      <c r="AO13" t="e">
        <f t="shared" ca="1" si="14"/>
        <v>#NAME?</v>
      </c>
      <c r="AP13" t="e">
        <f t="shared" ca="1" si="12"/>
        <v>#NAME?</v>
      </c>
      <c r="AQ13" t="e">
        <f t="shared" ca="1" si="12"/>
        <v>#NAME?</v>
      </c>
      <c r="AR13" t="e">
        <f t="shared" ca="1" si="13"/>
        <v>#NAME?</v>
      </c>
    </row>
    <row r="14" spans="1:44" x14ac:dyDescent="0.35">
      <c r="A14" s="17">
        <v>24</v>
      </c>
      <c r="B14" s="18">
        <v>1</v>
      </c>
      <c r="C14" s="17">
        <v>17</v>
      </c>
      <c r="D14" s="18">
        <v>46</v>
      </c>
      <c r="F14">
        <f t="shared" si="1"/>
        <v>24</v>
      </c>
      <c r="G14">
        <f t="shared" si="0"/>
        <v>1</v>
      </c>
      <c r="H14" s="7">
        <f t="shared" si="0"/>
        <v>17</v>
      </c>
      <c r="I14">
        <f t="shared" si="0"/>
        <v>46</v>
      </c>
      <c r="J14" s="8">
        <f t="shared" si="2"/>
        <v>63</v>
      </c>
      <c r="K14">
        <f t="shared" si="3"/>
        <v>0.26984126984126983</v>
      </c>
      <c r="L14">
        <f t="shared" si="4"/>
        <v>0.26771665791417604</v>
      </c>
      <c r="M14" s="7">
        <f t="shared" si="5"/>
        <v>16.866149448593092</v>
      </c>
      <c r="N14" s="8">
        <f t="shared" si="6"/>
        <v>46.133850551406908</v>
      </c>
      <c r="O14" s="7">
        <f t="shared" si="7"/>
        <v>-36.736080759739586</v>
      </c>
      <c r="P14" s="8">
        <f t="shared" si="8"/>
        <v>73.015873015873012</v>
      </c>
      <c r="Q14">
        <f t="shared" si="9"/>
        <v>-0.61973340987478487</v>
      </c>
      <c r="R14">
        <f t="shared" si="10"/>
        <v>0.32923836302789505</v>
      </c>
      <c r="S14">
        <f t="shared" si="11"/>
        <v>34.870352704038545</v>
      </c>
      <c r="W14" t="s">
        <v>41</v>
      </c>
      <c r="X14" s="11">
        <f>X13/(1-EXP(2*X3/J16))</f>
        <v>0.35010594449181748</v>
      </c>
      <c r="AK14" t="e">
        <f ca="1"/>
        <v>#NAME?</v>
      </c>
      <c r="AL14" t="e">
        <f ca="1"/>
        <v>#NAME?</v>
      </c>
      <c r="AM14" t="e">
        <f ca="1"/>
        <v>#NAME?</v>
      </c>
      <c r="AN14" t="e">
        <f t="shared" ca="1" si="14"/>
        <v>#NAME?</v>
      </c>
      <c r="AO14" t="e">
        <f t="shared" ca="1" si="14"/>
        <v>#NAME?</v>
      </c>
      <c r="AP14" t="e">
        <f t="shared" ca="1" si="12"/>
        <v>#NAME?</v>
      </c>
      <c r="AQ14" t="e">
        <f t="shared" ca="1" si="12"/>
        <v>#NAME?</v>
      </c>
      <c r="AR14" t="e">
        <f t="shared" ca="1" si="13"/>
        <v>#NAME?</v>
      </c>
    </row>
    <row r="15" spans="1:44" x14ac:dyDescent="0.35">
      <c r="A15" s="24">
        <v>25</v>
      </c>
      <c r="B15" s="25">
        <v>1</v>
      </c>
      <c r="C15" s="24">
        <v>7</v>
      </c>
      <c r="D15" s="25">
        <v>22</v>
      </c>
      <c r="F15">
        <f t="shared" si="1"/>
        <v>25</v>
      </c>
      <c r="G15">
        <f t="shared" si="0"/>
        <v>1</v>
      </c>
      <c r="H15" s="13">
        <f t="shared" si="0"/>
        <v>7</v>
      </c>
      <c r="I15" s="14">
        <f t="shared" si="0"/>
        <v>22</v>
      </c>
      <c r="J15" s="8">
        <f t="shared" si="2"/>
        <v>29</v>
      </c>
      <c r="K15">
        <f t="shared" si="3"/>
        <v>0.2413793103448276</v>
      </c>
      <c r="L15">
        <f t="shared" si="4"/>
        <v>0.10756888498036782</v>
      </c>
      <c r="M15" s="7">
        <f t="shared" si="5"/>
        <v>3.1194976644306669</v>
      </c>
      <c r="N15" s="8">
        <f t="shared" si="6"/>
        <v>25.880502335569332</v>
      </c>
      <c r="O15" s="7">
        <f t="shared" si="7"/>
        <v>-18.111097830698625</v>
      </c>
      <c r="P15" s="8">
        <f t="shared" si="8"/>
        <v>75.862068965517238</v>
      </c>
      <c r="Q15">
        <f t="shared" si="9"/>
        <v>-1.239561117054734</v>
      </c>
      <c r="R15">
        <f t="shared" si="10"/>
        <v>0.18503793614886435</v>
      </c>
      <c r="S15">
        <f t="shared" si="11"/>
        <v>12.387332294140055</v>
      </c>
      <c r="AK15" t="e">
        <f ca="1"/>
        <v>#NAME?</v>
      </c>
      <c r="AL15" t="e">
        <f ca="1"/>
        <v>#NAME?</v>
      </c>
      <c r="AM15" t="e">
        <f ca="1"/>
        <v>#NAME?</v>
      </c>
      <c r="AN15" t="e">
        <f t="shared" ca="1" si="14"/>
        <v>#NAME?</v>
      </c>
      <c r="AO15" t="e">
        <f t="shared" ca="1" si="14"/>
        <v>#NAME?</v>
      </c>
      <c r="AP15" t="e">
        <f t="shared" ca="1" si="12"/>
        <v>#NAME?</v>
      </c>
      <c r="AQ15" t="e">
        <f t="shared" ca="1" si="12"/>
        <v>#NAME?</v>
      </c>
      <c r="AR15" t="e">
        <f t="shared" ca="1" si="13"/>
        <v>#NAME?</v>
      </c>
    </row>
    <row r="16" spans="1:44" x14ac:dyDescent="0.35">
      <c r="C16">
        <f>SUM(C4:C15)</f>
        <v>522</v>
      </c>
      <c r="D16">
        <f>SUM(D4:D15)</f>
        <v>338</v>
      </c>
      <c r="F16" s="26"/>
      <c r="G16" s="26"/>
      <c r="H16" s="26">
        <f>SUM(H4:H15)</f>
        <v>522</v>
      </c>
      <c r="I16" s="26">
        <f>SUM(I4:I15)</f>
        <v>338</v>
      </c>
      <c r="J16" s="26">
        <f>SUM(J4:J15)</f>
        <v>860</v>
      </c>
      <c r="K16" s="26"/>
      <c r="L16" s="26"/>
      <c r="M16" s="26">
        <f>SUM(M4:M15)</f>
        <v>522.7817932400053</v>
      </c>
      <c r="N16" s="26">
        <f>SUM(N4:N15)</f>
        <v>337.2182067599947</v>
      </c>
      <c r="O16" s="26">
        <f>SUM(O4:O15)</f>
        <v>-447.69607955173467</v>
      </c>
      <c r="P16" s="26">
        <f>SUMPRODUCT(P4:P15,J4:J15)/J16</f>
        <v>72.093023255813947</v>
      </c>
      <c r="Q16" s="26"/>
      <c r="R16" s="26"/>
      <c r="S16" s="26"/>
      <c r="AK16" s="19" t="e">
        <f ca="1"/>
        <v>#NAME?</v>
      </c>
      <c r="AL16" s="19" t="e">
        <f ca="1"/>
        <v>#NAME?</v>
      </c>
      <c r="AM16" s="19" t="e">
        <f ca="1"/>
        <v>#NAME?</v>
      </c>
      <c r="AN16" s="19" t="e">
        <f t="shared" ca="1" si="14"/>
        <v>#NAME?</v>
      </c>
      <c r="AO16" s="19" t="e">
        <f t="shared" ca="1" si="14"/>
        <v>#NAME?</v>
      </c>
      <c r="AP16" s="19" t="e">
        <f t="shared" ca="1" si="12"/>
        <v>#NAME?</v>
      </c>
      <c r="AQ16" s="19" t="e">
        <f t="shared" ca="1" si="12"/>
        <v>#NAME?</v>
      </c>
      <c r="AR16" s="19" t="e">
        <f t="shared" ca="1" si="13"/>
        <v>#NAME?</v>
      </c>
    </row>
    <row r="17" spans="6:44" ht="15" thickBot="1" x14ac:dyDescent="0.4">
      <c r="AR17" t="e">
        <f ca="1">SUM(AR4:AR16)</f>
        <v>#NAME?</v>
      </c>
    </row>
    <row r="18" spans="6:44" ht="15" thickTop="1" x14ac:dyDescent="0.35">
      <c r="F18" s="2"/>
      <c r="G18" s="2" t="s">
        <v>42</v>
      </c>
      <c r="H18" s="2" t="s">
        <v>43</v>
      </c>
      <c r="I18" s="2" t="s">
        <v>44</v>
      </c>
      <c r="J18" s="2" t="s">
        <v>34</v>
      </c>
      <c r="K18" s="2" t="s">
        <v>45</v>
      </c>
      <c r="L18" s="2" t="s">
        <v>46</v>
      </c>
    </row>
    <row r="19" spans="6:44" x14ac:dyDescent="0.35">
      <c r="F19" t="s">
        <v>47</v>
      </c>
      <c r="G19">
        <f t="array" ref="G19:G21">U5:U7</f>
        <v>14.297344689925856</v>
      </c>
      <c r="H19" t="e">
        <f t="array" aca="1" ref="H19:H21" ca="1">SQRT([2]!DIAG(Z4:AB6))</f>
        <v>#NAME?</v>
      </c>
      <c r="I19" t="e">
        <f ca="1">(G19/H19)^2</f>
        <v>#NAME?</v>
      </c>
      <c r="J19" t="e">
        <f ca="1">CHIDIST(I19,1)</f>
        <v>#NAME?</v>
      </c>
      <c r="K19" t="e">
        <f ca="1">G19-H19*NORMSINV(1-$X$9/2)</f>
        <v>#NAME?</v>
      </c>
      <c r="L19" t="e">
        <f ca="1">G19+H19*NORMSINV(1-$X$9/2)</f>
        <v>#NAME?</v>
      </c>
    </row>
    <row r="20" spans="6:44" x14ac:dyDescent="0.35">
      <c r="F20" t="str">
        <f t="array" ref="F20:F21">TRANSPOSE(F3:G3)</f>
        <v>Temp</v>
      </c>
      <c r="G20">
        <v>-0.61982770717994906</v>
      </c>
      <c r="H20" t="e">
        <f ca="1"/>
        <v>#NAME?</v>
      </c>
      <c r="I20" t="e">
        <f ca="1">(G20/H20)^2</f>
        <v>#NAME?</v>
      </c>
      <c r="J20" t="e">
        <f ca="1">CHIDIST(I20,1)</f>
        <v>#NAME?</v>
      </c>
      <c r="K20" t="e">
        <f ca="1">G20-H20*NORMSINV(1-$X$9/2)</f>
        <v>#NAME?</v>
      </c>
      <c r="L20" t="e">
        <f ca="1">G20+H20*NORMSINV(1-$X$9/2)</f>
        <v>#NAME?</v>
      </c>
    </row>
    <row r="21" spans="6:44" x14ac:dyDescent="0.35">
      <c r="F21" s="19" t="str">
        <v>Water</v>
      </c>
      <c r="G21" s="19">
        <v>-4.1213127481863371E-2</v>
      </c>
      <c r="H21" s="19" t="e">
        <f ca="1"/>
        <v>#NAME?</v>
      </c>
      <c r="I21" s="19" t="e">
        <f ca="1">(G21/H21)^2</f>
        <v>#NAME?</v>
      </c>
      <c r="J21" s="19" t="e">
        <f ca="1">CHIDIST(I21,1)</f>
        <v>#NAME?</v>
      </c>
      <c r="K21" s="19" t="e">
        <f ca="1">G21-H21*NORMSINV(1-$X$9/2)</f>
        <v>#NAME?</v>
      </c>
      <c r="L21" s="19" t="e">
        <f ca="1">G21+H21*NORMSINV(1-$X$9/2)</f>
        <v>#NAME?</v>
      </c>
    </row>
    <row r="23" spans="6:44" x14ac:dyDescent="0.35">
      <c r="F23" s="1" t="s">
        <v>4</v>
      </c>
      <c r="G23" s="1" t="s">
        <v>5</v>
      </c>
      <c r="H23" s="1" t="s">
        <v>48</v>
      </c>
    </row>
    <row r="24" spans="6:44" x14ac:dyDescent="0.35">
      <c r="F24" s="5">
        <v>20</v>
      </c>
      <c r="G24" s="6">
        <v>0</v>
      </c>
      <c r="H24" s="6" t="e">
        <f t="array" aca="1" ref="H24:H26" ca="1">[2]!ProbitPredC(F24:G26,G19:G21)</f>
        <v>#NAME?</v>
      </c>
    </row>
    <row r="25" spans="6:44" x14ac:dyDescent="0.35">
      <c r="F25" s="17">
        <v>21</v>
      </c>
      <c r="G25" s="18">
        <v>1</v>
      </c>
      <c r="H25" s="18" t="e">
        <f ca="1"/>
        <v>#NAME?</v>
      </c>
    </row>
    <row r="26" spans="6:44" x14ac:dyDescent="0.35">
      <c r="F26" s="24">
        <v>21.5</v>
      </c>
      <c r="G26" s="25">
        <v>0</v>
      </c>
      <c r="H26" s="25" t="e">
        <f ca="1"/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4E72-D58E-4758-903E-3A2D1099ED33}">
  <sheetPr codeName="Sheet133"/>
  <dimension ref="A1:AR30"/>
  <sheetViews>
    <sheetView workbookViewId="0">
      <selection activeCell="Q12" sqref="Q12"/>
    </sheetView>
  </sheetViews>
  <sheetFormatPr defaultRowHeight="14.5" x14ac:dyDescent="0.35"/>
  <sheetData>
    <row r="1" spans="1:44" x14ac:dyDescent="0.35">
      <c r="A1" t="s">
        <v>49</v>
      </c>
      <c r="F1" t="s">
        <v>1</v>
      </c>
      <c r="AF1" t="s">
        <v>2</v>
      </c>
      <c r="AK1" t="s">
        <v>3</v>
      </c>
    </row>
    <row r="2" spans="1:44" ht="15" thickBot="1" x14ac:dyDescent="0.4"/>
    <row r="3" spans="1:44" ht="15" thickTop="1" x14ac:dyDescent="0.35">
      <c r="A3" s="1" t="s">
        <v>4</v>
      </c>
      <c r="B3" s="1" t="s">
        <v>5</v>
      </c>
      <c r="C3" s="1" t="s">
        <v>6</v>
      </c>
      <c r="D3" s="1" t="s">
        <v>7</v>
      </c>
      <c r="F3" s="2" t="str">
        <f>A3</f>
        <v>Temp</v>
      </c>
      <c r="G3" s="2" t="str">
        <f t="shared" ref="G3:I15" si="0">B3</f>
        <v>Water</v>
      </c>
      <c r="H3" s="2" t="str">
        <f t="shared" si="0"/>
        <v>Male</v>
      </c>
      <c r="I3" s="2" t="str">
        <f t="shared" si="0"/>
        <v>Female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U3" t="s">
        <v>18</v>
      </c>
      <c r="W3" t="s">
        <v>19</v>
      </c>
      <c r="X3" s="3">
        <f>H16*LN(H16/J16)+I16*LN(I16/J16)</f>
        <v>-576.26986120489823</v>
      </c>
      <c r="Z3" t="s">
        <v>20</v>
      </c>
      <c r="AD3" t="s">
        <v>21</v>
      </c>
      <c r="AG3" s="4" t="s">
        <v>22</v>
      </c>
      <c r="AH3" s="4" t="s">
        <v>23</v>
      </c>
      <c r="AK3" s="2" t="s">
        <v>10</v>
      </c>
      <c r="AL3" s="2" t="s">
        <v>24</v>
      </c>
      <c r="AM3" s="2" t="s">
        <v>25</v>
      </c>
      <c r="AN3" s="2" t="s">
        <v>26</v>
      </c>
      <c r="AO3" s="2" t="s">
        <v>27</v>
      </c>
      <c r="AP3" s="2" t="s">
        <v>28</v>
      </c>
      <c r="AQ3" s="2" t="s">
        <v>29</v>
      </c>
      <c r="AR3" s="2" t="s">
        <v>30</v>
      </c>
    </row>
    <row r="4" spans="1:44" x14ac:dyDescent="0.35">
      <c r="A4" s="5">
        <v>20</v>
      </c>
      <c r="B4" s="6">
        <v>0</v>
      </c>
      <c r="C4" s="5">
        <v>21</v>
      </c>
      <c r="D4" s="6">
        <v>0</v>
      </c>
      <c r="F4">
        <f t="shared" ref="F4:F15" si="1">A4</f>
        <v>20</v>
      </c>
      <c r="G4">
        <f t="shared" si="0"/>
        <v>0</v>
      </c>
      <c r="H4" s="7">
        <f t="shared" si="0"/>
        <v>21</v>
      </c>
      <c r="I4">
        <f t="shared" si="0"/>
        <v>0</v>
      </c>
      <c r="J4" s="8">
        <f>H4+I4</f>
        <v>21</v>
      </c>
      <c r="K4">
        <f>IF(J4=0,"",H4/J4)</f>
        <v>1</v>
      </c>
      <c r="L4" t="e">
        <f ca="1">NORMSDIST(Q4)</f>
        <v>#NAME?</v>
      </c>
      <c r="M4" s="9" t="e">
        <f ca="1">J4*L4</f>
        <v>#NAME?</v>
      </c>
      <c r="N4" s="10" t="e">
        <f ca="1">J4-M4</f>
        <v>#NAME?</v>
      </c>
      <c r="O4" s="9" t="e">
        <f ca="1">J4*(K4*LN(L4)+(1-K4)*LN(1-L4))</f>
        <v>#NAME?</v>
      </c>
      <c r="P4" s="10" t="e">
        <f ca="1">100*IF(L4&gt;=$AG$10,H4/J4,I4/J4)</f>
        <v>#NAME?</v>
      </c>
      <c r="Q4" t="e">
        <f ca="1">$U$5+MMULT(F4:G4,$U$6:$U$7)</f>
        <v>#NAME?</v>
      </c>
      <c r="R4" t="e">
        <f ca="1">NORMDIST(Q4,0,1,FALSE)</f>
        <v>#NAME?</v>
      </c>
      <c r="S4" t="e">
        <f ca="1">(H4*(Q4*R4/L4+(R4/L4)^2)-I4*(Q4*R4/(1-L4)-(R4/(1-L4))^2))</f>
        <v>#NAME?</v>
      </c>
      <c r="W4" t="s">
        <v>31</v>
      </c>
      <c r="X4" s="11" t="e">
        <f ca="1">O16</f>
        <v>#NAME?</v>
      </c>
      <c r="Z4" s="9" t="e">
        <f t="array" aca="1" ref="Z4:AB6" ca="1">MINVERSE(MMULT(TRANSPOSE([2]!DEsign(F4:G15)),S4:S15*[2]!DEsign(F4:G15)))</f>
        <v>#NAME?</v>
      </c>
      <c r="AA4" s="12" t="e">
        <f ca="1"/>
        <v>#NAME?</v>
      </c>
      <c r="AB4" s="10" t="e">
        <f ca="1"/>
        <v>#NAME?</v>
      </c>
      <c r="AD4" s="3" t="e">
        <f t="array" aca="1" ref="AD4:AD6" ca="1">MMULT(Z4:AB6,MMULT(TRANSPOSE([2]!DEsign(F4:G15)),J4:J15*(K4:K15-L4:L15)))</f>
        <v>#NAME?</v>
      </c>
      <c r="AF4" t="s">
        <v>11</v>
      </c>
      <c r="AG4" s="9">
        <f ca="1">SUMIF(L4:L15,"&gt;="&amp;AG10,H4:H15)</f>
        <v>0</v>
      </c>
      <c r="AH4" s="10">
        <f ca="1">SUMIF(L4:L15,"&gt;="&amp;AG10,I4:I15)</f>
        <v>0</v>
      </c>
      <c r="AI4">
        <f ca="1">AG4+AH4</f>
        <v>0</v>
      </c>
      <c r="AN4">
        <v>0</v>
      </c>
      <c r="AO4">
        <v>0</v>
      </c>
      <c r="AP4" t="e">
        <f ca="1">1-AN4/AN$16</f>
        <v>#NAME?</v>
      </c>
      <c r="AQ4" t="e">
        <f ca="1">1-AO4/AO$16</f>
        <v>#NAME?</v>
      </c>
      <c r="AR4" t="e">
        <f ca="1">(AP4-AP5)*AQ4</f>
        <v>#NAME?</v>
      </c>
    </row>
    <row r="5" spans="1:44" x14ac:dyDescent="0.35">
      <c r="A5" s="17">
        <v>21</v>
      </c>
      <c r="B5" s="18">
        <v>0</v>
      </c>
      <c r="C5" s="17">
        <v>90</v>
      </c>
      <c r="D5" s="18">
        <v>6</v>
      </c>
      <c r="F5">
        <f t="shared" si="1"/>
        <v>21</v>
      </c>
      <c r="G5">
        <f t="shared" si="0"/>
        <v>0</v>
      </c>
      <c r="H5" s="7">
        <f t="shared" si="0"/>
        <v>90</v>
      </c>
      <c r="I5">
        <f t="shared" si="0"/>
        <v>6</v>
      </c>
      <c r="J5" s="8">
        <f t="shared" ref="J5:J15" si="2">H5+I5</f>
        <v>96</v>
      </c>
      <c r="K5">
        <f t="shared" ref="K5:K15" si="3">IF(J5=0,"",H5/J5)</f>
        <v>0.9375</v>
      </c>
      <c r="L5" t="e">
        <f t="shared" ref="L5:L15" ca="1" si="4">NORMSDIST(Q5)</f>
        <v>#NAME?</v>
      </c>
      <c r="M5" s="7" t="e">
        <f t="shared" ref="M5:M15" ca="1" si="5">J5*L5</f>
        <v>#NAME?</v>
      </c>
      <c r="N5" s="8" t="e">
        <f t="shared" ref="N5:N15" ca="1" si="6">J5-M5</f>
        <v>#NAME?</v>
      </c>
      <c r="O5" s="7" t="e">
        <f t="shared" ref="O5:O15" ca="1" si="7">J5*(K5*LN(L5)+(1-K5)*LN(1-L5))</f>
        <v>#NAME?</v>
      </c>
      <c r="P5" s="8" t="e">
        <f t="shared" ref="P5:P15" ca="1" si="8">100*IF(L5&gt;=$AG$10,H5/J5,I5/J5)</f>
        <v>#NAME?</v>
      </c>
      <c r="Q5" t="e">
        <f t="shared" ref="Q5:Q15" ca="1" si="9">$U$5+MMULT(F5:G5,$U$6:$U$7)</f>
        <v>#NAME?</v>
      </c>
      <c r="R5" t="e">
        <f t="shared" ref="R5:R15" ca="1" si="10">NORMDIST(Q5,0,1,FALSE)</f>
        <v>#NAME?</v>
      </c>
      <c r="S5" t="e">
        <f t="shared" ref="S5:S15" ca="1" si="11">(H5*(Q5*R5/L5+(R5/L5)^2)-I5*(Q5*R5/(1-L5)-(R5/(1-L5))^2))</f>
        <v>#NAME?</v>
      </c>
      <c r="U5" s="3" t="e">
        <f t="array" aca="1" ref="U5:U7" ca="1">[2]!ProbitCoeff(F4:I15,,,,,20)</f>
        <v>#NAME?</v>
      </c>
      <c r="Z5" s="7" t="e">
        <f ca="1"/>
        <v>#NAME?</v>
      </c>
      <c r="AA5" t="e">
        <f ca="1"/>
        <v>#NAME?</v>
      </c>
      <c r="AB5" s="8" t="e">
        <f ca="1"/>
        <v>#NAME?</v>
      </c>
      <c r="AD5" s="16" t="e">
        <f ca="1"/>
        <v>#NAME?</v>
      </c>
      <c r="AF5" t="s">
        <v>12</v>
      </c>
      <c r="AG5" s="13">
        <f ca="1">AG6-AG4</f>
        <v>522</v>
      </c>
      <c r="AH5" s="15">
        <f ca="1">AH6-AH4</f>
        <v>338</v>
      </c>
      <c r="AI5">
        <f ca="1">AG5+AH5</f>
        <v>860</v>
      </c>
      <c r="AK5" t="e">
        <f t="array" aca="1" ref="AK5:AM16" ca="1">[2]!SelectCols(H4:L15,"5,2,1",1)</f>
        <v>#NAME?</v>
      </c>
      <c r="AL5" t="e">
        <f ca="1"/>
        <v>#NAME?</v>
      </c>
      <c r="AM5" t="e">
        <f ca="1"/>
        <v>#NAME?</v>
      </c>
      <c r="AN5" t="e">
        <f ca="1">AN4+AL5</f>
        <v>#NAME?</v>
      </c>
      <c r="AO5" t="e">
        <f ca="1">AO4+AM5</f>
        <v>#NAME?</v>
      </c>
      <c r="AP5" t="e">
        <f t="shared" ref="AP5:AQ16" ca="1" si="12">1-AN5/AN$16</f>
        <v>#NAME?</v>
      </c>
      <c r="AQ5" t="e">
        <f t="shared" ca="1" si="12"/>
        <v>#NAME?</v>
      </c>
      <c r="AR5" t="e">
        <f t="shared" ref="AR5:AR16" ca="1" si="13">(AP5-AP6)*AQ5</f>
        <v>#NAME?</v>
      </c>
    </row>
    <row r="6" spans="1:44" x14ac:dyDescent="0.35">
      <c r="A6" s="17">
        <v>22</v>
      </c>
      <c r="B6" s="18">
        <v>0</v>
      </c>
      <c r="C6" s="17">
        <v>91</v>
      </c>
      <c r="D6" s="18">
        <v>23</v>
      </c>
      <c r="F6">
        <f t="shared" si="1"/>
        <v>22</v>
      </c>
      <c r="G6">
        <f t="shared" si="0"/>
        <v>0</v>
      </c>
      <c r="H6" s="7">
        <f t="shared" si="0"/>
        <v>91</v>
      </c>
      <c r="I6">
        <f t="shared" si="0"/>
        <v>23</v>
      </c>
      <c r="J6" s="8">
        <f t="shared" si="2"/>
        <v>114</v>
      </c>
      <c r="K6">
        <f t="shared" si="3"/>
        <v>0.79824561403508776</v>
      </c>
      <c r="L6" t="e">
        <f t="shared" ca="1" si="4"/>
        <v>#NAME?</v>
      </c>
      <c r="M6" s="7" t="e">
        <f t="shared" ca="1" si="5"/>
        <v>#NAME?</v>
      </c>
      <c r="N6" s="8" t="e">
        <f t="shared" ca="1" si="6"/>
        <v>#NAME?</v>
      </c>
      <c r="O6" s="7" t="e">
        <f t="shared" ca="1" si="7"/>
        <v>#NAME?</v>
      </c>
      <c r="P6" s="8" t="e">
        <f t="shared" ca="1" si="8"/>
        <v>#NAME?</v>
      </c>
      <c r="Q6" t="e">
        <f t="shared" ca="1" si="9"/>
        <v>#NAME?</v>
      </c>
      <c r="R6" t="e">
        <f t="shared" ca="1" si="10"/>
        <v>#NAME?</v>
      </c>
      <c r="S6" t="e">
        <f t="shared" ca="1" si="11"/>
        <v>#NAME?</v>
      </c>
      <c r="U6" s="16" t="e">
        <f ca="1"/>
        <v>#NAME?</v>
      </c>
      <c r="W6" t="s">
        <v>32</v>
      </c>
      <c r="X6" s="3" t="e">
        <f ca="1">2*(X4-X3)</f>
        <v>#NAME?</v>
      </c>
      <c r="Z6" s="13" t="e">
        <f ca="1"/>
        <v>#NAME?</v>
      </c>
      <c r="AA6" s="14" t="e">
        <f ca="1"/>
        <v>#NAME?</v>
      </c>
      <c r="AB6" s="15" t="e">
        <f ca="1"/>
        <v>#NAME?</v>
      </c>
      <c r="AD6" s="11" t="e">
        <f ca="1"/>
        <v>#NAME?</v>
      </c>
      <c r="AG6">
        <f>H16</f>
        <v>522</v>
      </c>
      <c r="AH6">
        <f>I16</f>
        <v>338</v>
      </c>
      <c r="AI6">
        <f>AG6+AH6</f>
        <v>860</v>
      </c>
      <c r="AK6" t="e">
        <f ca="1"/>
        <v>#NAME?</v>
      </c>
      <c r="AL6" t="e">
        <f ca="1"/>
        <v>#NAME?</v>
      </c>
      <c r="AM6" t="e">
        <f ca="1"/>
        <v>#NAME?</v>
      </c>
      <c r="AN6" t="e">
        <f t="shared" ref="AN6:AO16" ca="1" si="14">AN5+AL6</f>
        <v>#NAME?</v>
      </c>
      <c r="AO6" t="e">
        <f t="shared" ca="1" si="14"/>
        <v>#NAME?</v>
      </c>
      <c r="AP6" t="e">
        <f t="shared" ca="1" si="12"/>
        <v>#NAME?</v>
      </c>
      <c r="AQ6" t="e">
        <f t="shared" ca="1" si="12"/>
        <v>#NAME?</v>
      </c>
      <c r="AR6" t="e">
        <f t="shared" ca="1" si="13"/>
        <v>#NAME?</v>
      </c>
    </row>
    <row r="7" spans="1:44" x14ac:dyDescent="0.35">
      <c r="A7" s="17">
        <v>23</v>
      </c>
      <c r="B7" s="18">
        <v>0</v>
      </c>
      <c r="C7" s="17">
        <v>61</v>
      </c>
      <c r="D7" s="18">
        <v>73</v>
      </c>
      <c r="F7">
        <f t="shared" si="1"/>
        <v>23</v>
      </c>
      <c r="G7">
        <f t="shared" si="0"/>
        <v>0</v>
      </c>
      <c r="H7" s="7">
        <f t="shared" si="0"/>
        <v>61</v>
      </c>
      <c r="I7">
        <f t="shared" si="0"/>
        <v>73</v>
      </c>
      <c r="J7" s="8">
        <f t="shared" si="2"/>
        <v>134</v>
      </c>
      <c r="K7">
        <f t="shared" si="3"/>
        <v>0.45522388059701491</v>
      </c>
      <c r="L7" t="e">
        <f t="shared" ca="1" si="4"/>
        <v>#NAME?</v>
      </c>
      <c r="M7" s="7" t="e">
        <f t="shared" ca="1" si="5"/>
        <v>#NAME?</v>
      </c>
      <c r="N7" s="8" t="e">
        <f t="shared" ca="1" si="6"/>
        <v>#NAME?</v>
      </c>
      <c r="O7" s="7" t="e">
        <f t="shared" ca="1" si="7"/>
        <v>#NAME?</v>
      </c>
      <c r="P7" s="8" t="e">
        <f t="shared" ca="1" si="8"/>
        <v>#NAME?</v>
      </c>
      <c r="Q7" t="e">
        <f t="shared" ca="1" si="9"/>
        <v>#NAME?</v>
      </c>
      <c r="R7" t="e">
        <f t="shared" ca="1" si="10"/>
        <v>#NAME?</v>
      </c>
      <c r="S7" t="e">
        <f t="shared" ca="1" si="11"/>
        <v>#NAME?</v>
      </c>
      <c r="U7" s="11" t="e">
        <f ca="1"/>
        <v>#NAME?</v>
      </c>
      <c r="W7" t="s">
        <v>33</v>
      </c>
      <c r="X7" s="16">
        <f>COUNT(F4:G4)</f>
        <v>2</v>
      </c>
      <c r="AK7" t="e">
        <f ca="1"/>
        <v>#NAME?</v>
      </c>
      <c r="AL7" t="e">
        <f ca="1"/>
        <v>#NAME?</v>
      </c>
      <c r="AM7" t="e">
        <f ca="1"/>
        <v>#NAME?</v>
      </c>
      <c r="AN7" t="e">
        <f t="shared" ca="1" si="14"/>
        <v>#NAME?</v>
      </c>
      <c r="AO7" t="e">
        <f t="shared" ca="1" si="14"/>
        <v>#NAME?</v>
      </c>
      <c r="AP7" t="e">
        <f t="shared" ca="1" si="12"/>
        <v>#NAME?</v>
      </c>
      <c r="AQ7" t="e">
        <f t="shared" ca="1" si="12"/>
        <v>#NAME?</v>
      </c>
      <c r="AR7" t="e">
        <f t="shared" ca="1" si="13"/>
        <v>#NAME?</v>
      </c>
    </row>
    <row r="8" spans="1:44" x14ac:dyDescent="0.35">
      <c r="A8" s="17">
        <v>24</v>
      </c>
      <c r="B8" s="18">
        <v>0</v>
      </c>
      <c r="C8" s="17">
        <v>11</v>
      </c>
      <c r="D8" s="18">
        <v>41</v>
      </c>
      <c r="F8">
        <f t="shared" si="1"/>
        <v>24</v>
      </c>
      <c r="G8">
        <f t="shared" si="0"/>
        <v>0</v>
      </c>
      <c r="H8" s="7">
        <f t="shared" si="0"/>
        <v>11</v>
      </c>
      <c r="I8">
        <f t="shared" si="0"/>
        <v>41</v>
      </c>
      <c r="J8" s="8">
        <f t="shared" si="2"/>
        <v>52</v>
      </c>
      <c r="K8">
        <f t="shared" si="3"/>
        <v>0.21153846153846154</v>
      </c>
      <c r="L8" t="e">
        <f t="shared" ca="1" si="4"/>
        <v>#NAME?</v>
      </c>
      <c r="M8" s="7" t="e">
        <f t="shared" ca="1" si="5"/>
        <v>#NAME?</v>
      </c>
      <c r="N8" s="8" t="e">
        <f t="shared" ca="1" si="6"/>
        <v>#NAME?</v>
      </c>
      <c r="O8" s="7" t="e">
        <f t="shared" ca="1" si="7"/>
        <v>#NAME?</v>
      </c>
      <c r="P8" s="8" t="e">
        <f t="shared" ca="1" si="8"/>
        <v>#NAME?</v>
      </c>
      <c r="Q8" t="e">
        <f t="shared" ca="1" si="9"/>
        <v>#NAME?</v>
      </c>
      <c r="R8" t="e">
        <f t="shared" ca="1" si="10"/>
        <v>#NAME?</v>
      </c>
      <c r="S8" t="e">
        <f t="shared" ca="1" si="11"/>
        <v>#NAME?</v>
      </c>
      <c r="W8" t="s">
        <v>34</v>
      </c>
      <c r="X8" s="16" t="e">
        <f ca="1">CHIDIST(X6,X7)</f>
        <v>#NAME?</v>
      </c>
      <c r="AF8" t="s">
        <v>35</v>
      </c>
      <c r="AG8" s="20">
        <f ca="1">AG4/AG6</f>
        <v>0</v>
      </c>
      <c r="AH8" s="21">
        <f ca="1">AH5/AH6</f>
        <v>1</v>
      </c>
      <c r="AI8">
        <f ca="1">(AG4+AH5)/AI6</f>
        <v>0.39302325581395348</v>
      </c>
      <c r="AK8" t="e">
        <f ca="1"/>
        <v>#NAME?</v>
      </c>
      <c r="AL8" t="e">
        <f ca="1"/>
        <v>#NAME?</v>
      </c>
      <c r="AM8" t="e">
        <f ca="1"/>
        <v>#NAME?</v>
      </c>
      <c r="AN8" t="e">
        <f t="shared" ca="1" si="14"/>
        <v>#NAME?</v>
      </c>
      <c r="AO8" t="e">
        <f t="shared" ca="1" si="14"/>
        <v>#NAME?</v>
      </c>
      <c r="AP8" t="e">
        <f t="shared" ca="1" si="12"/>
        <v>#NAME?</v>
      </c>
      <c r="AQ8" t="e">
        <f t="shared" ca="1" si="12"/>
        <v>#NAME?</v>
      </c>
      <c r="AR8" t="e">
        <f t="shared" ca="1" si="13"/>
        <v>#NAME?</v>
      </c>
    </row>
    <row r="9" spans="1:44" x14ac:dyDescent="0.35">
      <c r="A9" s="17">
        <v>25</v>
      </c>
      <c r="B9" s="18">
        <v>0</v>
      </c>
      <c r="C9" s="17">
        <v>4</v>
      </c>
      <c r="D9" s="18">
        <v>28</v>
      </c>
      <c r="F9">
        <f t="shared" si="1"/>
        <v>25</v>
      </c>
      <c r="G9">
        <f t="shared" si="0"/>
        <v>0</v>
      </c>
      <c r="H9" s="7">
        <f t="shared" si="0"/>
        <v>4</v>
      </c>
      <c r="I9">
        <f t="shared" si="0"/>
        <v>28</v>
      </c>
      <c r="J9" s="8">
        <f t="shared" si="2"/>
        <v>32</v>
      </c>
      <c r="K9">
        <f t="shared" si="3"/>
        <v>0.125</v>
      </c>
      <c r="L9" t="e">
        <f t="shared" ca="1" si="4"/>
        <v>#NAME?</v>
      </c>
      <c r="M9" s="7" t="e">
        <f t="shared" ca="1" si="5"/>
        <v>#NAME?</v>
      </c>
      <c r="N9" s="8" t="e">
        <f t="shared" ca="1" si="6"/>
        <v>#NAME?</v>
      </c>
      <c r="O9" s="7" t="e">
        <f t="shared" ca="1" si="7"/>
        <v>#NAME?</v>
      </c>
      <c r="P9" s="8" t="e">
        <f t="shared" ca="1" si="8"/>
        <v>#NAME?</v>
      </c>
      <c r="Q9" t="e">
        <f t="shared" ca="1" si="9"/>
        <v>#NAME?</v>
      </c>
      <c r="R9" t="e">
        <f t="shared" ca="1" si="10"/>
        <v>#NAME?</v>
      </c>
      <c r="S9" t="e">
        <f t="shared" ca="1" si="11"/>
        <v>#NAME?</v>
      </c>
      <c r="W9" t="s">
        <v>36</v>
      </c>
      <c r="X9" s="16">
        <v>0.05</v>
      </c>
      <c r="AK9" t="e">
        <f ca="1"/>
        <v>#NAME?</v>
      </c>
      <c r="AL9" t="e">
        <f ca="1"/>
        <v>#NAME?</v>
      </c>
      <c r="AM9" t="e">
        <f ca="1"/>
        <v>#NAME?</v>
      </c>
      <c r="AN9" t="e">
        <f t="shared" ca="1" si="14"/>
        <v>#NAME?</v>
      </c>
      <c r="AO9" t="e">
        <f t="shared" ca="1" si="14"/>
        <v>#NAME?</v>
      </c>
      <c r="AP9" t="e">
        <f t="shared" ca="1" si="12"/>
        <v>#NAME?</v>
      </c>
      <c r="AQ9" t="e">
        <f t="shared" ca="1" si="12"/>
        <v>#NAME?</v>
      </c>
      <c r="AR9" t="e">
        <f t="shared" ca="1" si="13"/>
        <v>#NAME?</v>
      </c>
    </row>
    <row r="10" spans="1:44" x14ac:dyDescent="0.35">
      <c r="A10" s="17">
        <v>20</v>
      </c>
      <c r="B10" s="18">
        <v>1</v>
      </c>
      <c r="C10" s="17">
        <v>18</v>
      </c>
      <c r="D10" s="18">
        <v>4</v>
      </c>
      <c r="F10">
        <f t="shared" si="1"/>
        <v>20</v>
      </c>
      <c r="G10">
        <f t="shared" si="0"/>
        <v>1</v>
      </c>
      <c r="H10" s="7">
        <f t="shared" si="0"/>
        <v>18</v>
      </c>
      <c r="I10">
        <f t="shared" si="0"/>
        <v>4</v>
      </c>
      <c r="J10" s="8">
        <f t="shared" si="2"/>
        <v>22</v>
      </c>
      <c r="K10">
        <f t="shared" si="3"/>
        <v>0.81818181818181823</v>
      </c>
      <c r="L10" t="e">
        <f t="shared" ca="1" si="4"/>
        <v>#NAME?</v>
      </c>
      <c r="M10" s="7" t="e">
        <f t="shared" ca="1" si="5"/>
        <v>#NAME?</v>
      </c>
      <c r="N10" s="8" t="e">
        <f t="shared" ca="1" si="6"/>
        <v>#NAME?</v>
      </c>
      <c r="O10" s="7" t="e">
        <f t="shared" ca="1" si="7"/>
        <v>#NAME?</v>
      </c>
      <c r="P10" s="8" t="e">
        <f t="shared" ca="1" si="8"/>
        <v>#NAME?</v>
      </c>
      <c r="Q10" t="e">
        <f t="shared" ca="1" si="9"/>
        <v>#NAME?</v>
      </c>
      <c r="R10" t="e">
        <f t="shared" ca="1" si="10"/>
        <v>#NAME?</v>
      </c>
      <c r="S10" t="e">
        <f t="shared" ca="1" si="11"/>
        <v>#NAME?</v>
      </c>
      <c r="W10" t="s">
        <v>37</v>
      </c>
      <c r="X10" s="22" t="e">
        <f ca="1">IF(X8&lt;X9,"yes","no")</f>
        <v>#NAME?</v>
      </c>
      <c r="AF10" t="s">
        <v>38</v>
      </c>
      <c r="AG10" s="23">
        <v>0.5</v>
      </c>
      <c r="AK10" t="e">
        <f ca="1"/>
        <v>#NAME?</v>
      </c>
      <c r="AL10" t="e">
        <f ca="1"/>
        <v>#NAME?</v>
      </c>
      <c r="AM10" t="e">
        <f ca="1"/>
        <v>#NAME?</v>
      </c>
      <c r="AN10" t="e">
        <f t="shared" ca="1" si="14"/>
        <v>#NAME?</v>
      </c>
      <c r="AO10" t="e">
        <f t="shared" ca="1" si="14"/>
        <v>#NAME?</v>
      </c>
      <c r="AP10" t="e">
        <f t="shared" ca="1" si="12"/>
        <v>#NAME?</v>
      </c>
      <c r="AQ10" t="e">
        <f t="shared" ca="1" si="12"/>
        <v>#NAME?</v>
      </c>
      <c r="AR10" t="e">
        <f t="shared" ca="1" si="13"/>
        <v>#NAME?</v>
      </c>
    </row>
    <row r="11" spans="1:44" x14ac:dyDescent="0.35">
      <c r="A11" s="17">
        <v>21</v>
      </c>
      <c r="B11" s="18">
        <v>1</v>
      </c>
      <c r="C11" s="17">
        <v>75</v>
      </c>
      <c r="D11" s="18">
        <v>9</v>
      </c>
      <c r="F11">
        <f t="shared" si="1"/>
        <v>21</v>
      </c>
      <c r="G11">
        <f t="shared" si="0"/>
        <v>1</v>
      </c>
      <c r="H11" s="7">
        <f t="shared" si="0"/>
        <v>75</v>
      </c>
      <c r="I11">
        <f t="shared" si="0"/>
        <v>9</v>
      </c>
      <c r="J11" s="8">
        <f t="shared" si="2"/>
        <v>84</v>
      </c>
      <c r="K11">
        <f t="shared" si="3"/>
        <v>0.8928571428571429</v>
      </c>
      <c r="L11" t="e">
        <f t="shared" ca="1" si="4"/>
        <v>#NAME?</v>
      </c>
      <c r="M11" s="7" t="e">
        <f t="shared" ca="1" si="5"/>
        <v>#NAME?</v>
      </c>
      <c r="N11" s="8" t="e">
        <f t="shared" ca="1" si="6"/>
        <v>#NAME?</v>
      </c>
      <c r="O11" s="7" t="e">
        <f t="shared" ca="1" si="7"/>
        <v>#NAME?</v>
      </c>
      <c r="P11" s="8" t="e">
        <f t="shared" ca="1" si="8"/>
        <v>#NAME?</v>
      </c>
      <c r="Q11" t="e">
        <f t="shared" ca="1" si="9"/>
        <v>#NAME?</v>
      </c>
      <c r="R11" t="e">
        <f t="shared" ca="1" si="10"/>
        <v>#NAME?</v>
      </c>
      <c r="S11" t="e">
        <f t="shared" ca="1" si="11"/>
        <v>#NAME?</v>
      </c>
      <c r="AK11" t="e">
        <f ca="1"/>
        <v>#NAME?</v>
      </c>
      <c r="AL11" t="e">
        <f ca="1"/>
        <v>#NAME?</v>
      </c>
      <c r="AM11" t="e">
        <f ca="1"/>
        <v>#NAME?</v>
      </c>
      <c r="AN11" t="e">
        <f t="shared" ca="1" si="14"/>
        <v>#NAME?</v>
      </c>
      <c r="AO11" t="e">
        <f t="shared" ca="1" si="14"/>
        <v>#NAME?</v>
      </c>
      <c r="AP11" t="e">
        <f t="shared" ca="1" si="12"/>
        <v>#NAME?</v>
      </c>
      <c r="AQ11" t="e">
        <f t="shared" ca="1" si="12"/>
        <v>#NAME?</v>
      </c>
      <c r="AR11" t="e">
        <f t="shared" ca="1" si="13"/>
        <v>#NAME?</v>
      </c>
    </row>
    <row r="12" spans="1:44" x14ac:dyDescent="0.35">
      <c r="A12" s="17">
        <v>22</v>
      </c>
      <c r="B12" s="18">
        <v>1</v>
      </c>
      <c r="C12" s="17">
        <v>68</v>
      </c>
      <c r="D12" s="18">
        <v>21</v>
      </c>
      <c r="F12">
        <f t="shared" si="1"/>
        <v>22</v>
      </c>
      <c r="G12">
        <f t="shared" si="0"/>
        <v>1</v>
      </c>
      <c r="H12" s="7">
        <f t="shared" si="0"/>
        <v>68</v>
      </c>
      <c r="I12">
        <f t="shared" si="0"/>
        <v>21</v>
      </c>
      <c r="J12" s="8">
        <f t="shared" si="2"/>
        <v>89</v>
      </c>
      <c r="K12">
        <f t="shared" si="3"/>
        <v>0.7640449438202247</v>
      </c>
      <c r="L12" t="e">
        <f t="shared" ca="1" si="4"/>
        <v>#NAME?</v>
      </c>
      <c r="M12" s="7" t="e">
        <f t="shared" ca="1" si="5"/>
        <v>#NAME?</v>
      </c>
      <c r="N12" s="8" t="e">
        <f t="shared" ca="1" si="6"/>
        <v>#NAME?</v>
      </c>
      <c r="O12" s="7" t="e">
        <f t="shared" ca="1" si="7"/>
        <v>#NAME?</v>
      </c>
      <c r="P12" s="8" t="e">
        <f t="shared" ca="1" si="8"/>
        <v>#NAME?</v>
      </c>
      <c r="Q12" t="e">
        <f t="shared" ca="1" si="9"/>
        <v>#NAME?</v>
      </c>
      <c r="R12" t="e">
        <f t="shared" ca="1" si="10"/>
        <v>#NAME?</v>
      </c>
      <c r="S12" t="e">
        <f t="shared" ca="1" si="11"/>
        <v>#NAME?</v>
      </c>
      <c r="W12" t="s">
        <v>39</v>
      </c>
      <c r="X12" s="3" t="e">
        <f ca="1">1-X4/X3</f>
        <v>#NAME?</v>
      </c>
      <c r="AK12" t="e">
        <f ca="1"/>
        <v>#NAME?</v>
      </c>
      <c r="AL12" t="e">
        <f ca="1"/>
        <v>#NAME?</v>
      </c>
      <c r="AM12" t="e">
        <f ca="1"/>
        <v>#NAME?</v>
      </c>
      <c r="AN12" t="e">
        <f t="shared" ca="1" si="14"/>
        <v>#NAME?</v>
      </c>
      <c r="AO12" t="e">
        <f t="shared" ca="1" si="14"/>
        <v>#NAME?</v>
      </c>
      <c r="AP12" t="e">
        <f t="shared" ca="1" si="12"/>
        <v>#NAME?</v>
      </c>
      <c r="AQ12" t="e">
        <f t="shared" ca="1" si="12"/>
        <v>#NAME?</v>
      </c>
      <c r="AR12" t="e">
        <f t="shared" ca="1" si="13"/>
        <v>#NAME?</v>
      </c>
    </row>
    <row r="13" spans="1:44" x14ac:dyDescent="0.35">
      <c r="A13" s="17">
        <v>23</v>
      </c>
      <c r="B13" s="18">
        <v>1</v>
      </c>
      <c r="C13" s="17">
        <v>59</v>
      </c>
      <c r="D13" s="18">
        <v>65</v>
      </c>
      <c r="F13">
        <f t="shared" si="1"/>
        <v>23</v>
      </c>
      <c r="G13">
        <f t="shared" si="0"/>
        <v>1</v>
      </c>
      <c r="H13" s="7">
        <f t="shared" si="0"/>
        <v>59</v>
      </c>
      <c r="I13">
        <f t="shared" si="0"/>
        <v>65</v>
      </c>
      <c r="J13" s="8">
        <f t="shared" si="2"/>
        <v>124</v>
      </c>
      <c r="K13">
        <f t="shared" si="3"/>
        <v>0.47580645161290325</v>
      </c>
      <c r="L13" t="e">
        <f t="shared" ca="1" si="4"/>
        <v>#NAME?</v>
      </c>
      <c r="M13" s="7" t="e">
        <f t="shared" ca="1" si="5"/>
        <v>#NAME?</v>
      </c>
      <c r="N13" s="8" t="e">
        <f t="shared" ca="1" si="6"/>
        <v>#NAME?</v>
      </c>
      <c r="O13" s="7" t="e">
        <f t="shared" ca="1" si="7"/>
        <v>#NAME?</v>
      </c>
      <c r="P13" s="8" t="e">
        <f t="shared" ca="1" si="8"/>
        <v>#NAME?</v>
      </c>
      <c r="Q13" t="e">
        <f t="shared" ca="1" si="9"/>
        <v>#NAME?</v>
      </c>
      <c r="R13" t="e">
        <f t="shared" ca="1" si="10"/>
        <v>#NAME?</v>
      </c>
      <c r="S13" t="e">
        <f t="shared" ca="1" si="11"/>
        <v>#NAME?</v>
      </c>
      <c r="W13" t="s">
        <v>40</v>
      </c>
      <c r="X13" s="16" t="e">
        <f ca="1">1-EXP((-2/J16)*(X4-X3))</f>
        <v>#NAME?</v>
      </c>
      <c r="AK13" t="e">
        <f ca="1"/>
        <v>#NAME?</v>
      </c>
      <c r="AL13" t="e">
        <f ca="1"/>
        <v>#NAME?</v>
      </c>
      <c r="AM13" t="e">
        <f ca="1"/>
        <v>#NAME?</v>
      </c>
      <c r="AN13" t="e">
        <f t="shared" ca="1" si="14"/>
        <v>#NAME?</v>
      </c>
      <c r="AO13" t="e">
        <f t="shared" ca="1" si="14"/>
        <v>#NAME?</v>
      </c>
      <c r="AP13" t="e">
        <f t="shared" ca="1" si="12"/>
        <v>#NAME?</v>
      </c>
      <c r="AQ13" t="e">
        <f t="shared" ca="1" si="12"/>
        <v>#NAME?</v>
      </c>
      <c r="AR13" t="e">
        <f t="shared" ca="1" si="13"/>
        <v>#NAME?</v>
      </c>
    </row>
    <row r="14" spans="1:44" x14ac:dyDescent="0.35">
      <c r="A14" s="17">
        <v>24</v>
      </c>
      <c r="B14" s="18">
        <v>1</v>
      </c>
      <c r="C14" s="17">
        <v>17</v>
      </c>
      <c r="D14" s="18">
        <v>46</v>
      </c>
      <c r="F14">
        <f t="shared" si="1"/>
        <v>24</v>
      </c>
      <c r="G14">
        <f t="shared" si="0"/>
        <v>1</v>
      </c>
      <c r="H14" s="7">
        <f t="shared" si="0"/>
        <v>17</v>
      </c>
      <c r="I14">
        <f t="shared" si="0"/>
        <v>46</v>
      </c>
      <c r="J14" s="8">
        <f t="shared" si="2"/>
        <v>63</v>
      </c>
      <c r="K14">
        <f t="shared" si="3"/>
        <v>0.26984126984126983</v>
      </c>
      <c r="L14" t="e">
        <f t="shared" ca="1" si="4"/>
        <v>#NAME?</v>
      </c>
      <c r="M14" s="7" t="e">
        <f t="shared" ca="1" si="5"/>
        <v>#NAME?</v>
      </c>
      <c r="N14" s="8" t="e">
        <f t="shared" ca="1" si="6"/>
        <v>#NAME?</v>
      </c>
      <c r="O14" s="7" t="e">
        <f t="shared" ca="1" si="7"/>
        <v>#NAME?</v>
      </c>
      <c r="P14" s="8" t="e">
        <f t="shared" ca="1" si="8"/>
        <v>#NAME?</v>
      </c>
      <c r="Q14" t="e">
        <f t="shared" ca="1" si="9"/>
        <v>#NAME?</v>
      </c>
      <c r="R14" t="e">
        <f t="shared" ca="1" si="10"/>
        <v>#NAME?</v>
      </c>
      <c r="S14" t="e">
        <f t="shared" ca="1" si="11"/>
        <v>#NAME?</v>
      </c>
      <c r="W14" t="s">
        <v>41</v>
      </c>
      <c r="X14" s="11" t="e">
        <f ca="1">X13/(1-EXP(2*X3/J16))</f>
        <v>#NAME?</v>
      </c>
      <c r="AK14" t="e">
        <f ca="1"/>
        <v>#NAME?</v>
      </c>
      <c r="AL14" t="e">
        <f ca="1"/>
        <v>#NAME?</v>
      </c>
      <c r="AM14" t="e">
        <f ca="1"/>
        <v>#NAME?</v>
      </c>
      <c r="AN14" t="e">
        <f t="shared" ca="1" si="14"/>
        <v>#NAME?</v>
      </c>
      <c r="AO14" t="e">
        <f t="shared" ca="1" si="14"/>
        <v>#NAME?</v>
      </c>
      <c r="AP14" t="e">
        <f t="shared" ca="1" si="12"/>
        <v>#NAME?</v>
      </c>
      <c r="AQ14" t="e">
        <f t="shared" ca="1" si="12"/>
        <v>#NAME?</v>
      </c>
      <c r="AR14" t="e">
        <f t="shared" ca="1" si="13"/>
        <v>#NAME?</v>
      </c>
    </row>
    <row r="15" spans="1:44" x14ac:dyDescent="0.35">
      <c r="A15" s="24">
        <v>25</v>
      </c>
      <c r="B15" s="25">
        <v>1</v>
      </c>
      <c r="C15" s="24">
        <v>7</v>
      </c>
      <c r="D15" s="25">
        <v>22</v>
      </c>
      <c r="F15">
        <f t="shared" si="1"/>
        <v>25</v>
      </c>
      <c r="G15">
        <f t="shared" si="0"/>
        <v>1</v>
      </c>
      <c r="H15" s="13">
        <f t="shared" si="0"/>
        <v>7</v>
      </c>
      <c r="I15" s="14">
        <f t="shared" si="0"/>
        <v>22</v>
      </c>
      <c r="J15" s="8">
        <f t="shared" si="2"/>
        <v>29</v>
      </c>
      <c r="K15">
        <f t="shared" si="3"/>
        <v>0.2413793103448276</v>
      </c>
      <c r="L15" t="e">
        <f t="shared" ca="1" si="4"/>
        <v>#NAME?</v>
      </c>
      <c r="M15" s="7" t="e">
        <f t="shared" ca="1" si="5"/>
        <v>#NAME?</v>
      </c>
      <c r="N15" s="8" t="e">
        <f t="shared" ca="1" si="6"/>
        <v>#NAME?</v>
      </c>
      <c r="O15" s="7" t="e">
        <f t="shared" ca="1" si="7"/>
        <v>#NAME?</v>
      </c>
      <c r="P15" s="8" t="e">
        <f t="shared" ca="1" si="8"/>
        <v>#NAME?</v>
      </c>
      <c r="Q15" t="e">
        <f t="shared" ca="1" si="9"/>
        <v>#NAME?</v>
      </c>
      <c r="R15" t="e">
        <f t="shared" ca="1" si="10"/>
        <v>#NAME?</v>
      </c>
      <c r="S15" t="e">
        <f t="shared" ca="1" si="11"/>
        <v>#NAME?</v>
      </c>
      <c r="AK15" t="e">
        <f ca="1"/>
        <v>#NAME?</v>
      </c>
      <c r="AL15" t="e">
        <f ca="1"/>
        <v>#NAME?</v>
      </c>
      <c r="AM15" t="e">
        <f ca="1"/>
        <v>#NAME?</v>
      </c>
      <c r="AN15" t="e">
        <f t="shared" ca="1" si="14"/>
        <v>#NAME?</v>
      </c>
      <c r="AO15" t="e">
        <f t="shared" ca="1" si="14"/>
        <v>#NAME?</v>
      </c>
      <c r="AP15" t="e">
        <f t="shared" ca="1" si="12"/>
        <v>#NAME?</v>
      </c>
      <c r="AQ15" t="e">
        <f t="shared" ca="1" si="12"/>
        <v>#NAME?</v>
      </c>
      <c r="AR15" t="e">
        <f t="shared" ca="1" si="13"/>
        <v>#NAME?</v>
      </c>
    </row>
    <row r="16" spans="1:44" x14ac:dyDescent="0.35">
      <c r="C16">
        <f>SUM(C4:C15)</f>
        <v>522</v>
      </c>
      <c r="D16">
        <f>SUM(D4:D15)</f>
        <v>338</v>
      </c>
      <c r="F16" s="26"/>
      <c r="G16" s="26"/>
      <c r="H16" s="26">
        <f>SUM(H4:H15)</f>
        <v>522</v>
      </c>
      <c r="I16" s="26">
        <f>SUM(I4:I15)</f>
        <v>338</v>
      </c>
      <c r="J16" s="26">
        <f>SUM(J4:J15)</f>
        <v>860</v>
      </c>
      <c r="K16" s="26"/>
      <c r="L16" s="26"/>
      <c r="M16" s="26" t="e">
        <f ca="1">SUM(M4:M15)</f>
        <v>#NAME?</v>
      </c>
      <c r="N16" s="26" t="e">
        <f ca="1">SUM(N4:N15)</f>
        <v>#NAME?</v>
      </c>
      <c r="O16" s="26" t="e">
        <f ca="1">SUM(O4:O15)</f>
        <v>#NAME?</v>
      </c>
      <c r="P16" s="26" t="e">
        <f ca="1">SUMPRODUCT(P4:P15,J4:J15)/J16</f>
        <v>#NAME?</v>
      </c>
      <c r="Q16" s="26"/>
      <c r="R16" s="26"/>
      <c r="S16" s="26"/>
      <c r="AK16" s="19" t="e">
        <f ca="1"/>
        <v>#NAME?</v>
      </c>
      <c r="AL16" s="19" t="e">
        <f ca="1"/>
        <v>#NAME?</v>
      </c>
      <c r="AM16" s="19" t="e">
        <f ca="1"/>
        <v>#NAME?</v>
      </c>
      <c r="AN16" s="19" t="e">
        <f t="shared" ca="1" si="14"/>
        <v>#NAME?</v>
      </c>
      <c r="AO16" s="19" t="e">
        <f t="shared" ca="1" si="14"/>
        <v>#NAME?</v>
      </c>
      <c r="AP16" s="19" t="e">
        <f t="shared" ca="1" si="12"/>
        <v>#NAME?</v>
      </c>
      <c r="AQ16" s="19" t="e">
        <f t="shared" ca="1" si="12"/>
        <v>#NAME?</v>
      </c>
      <c r="AR16" s="19" t="e">
        <f t="shared" ca="1" si="13"/>
        <v>#NAME?</v>
      </c>
    </row>
    <row r="17" spans="6:44" ht="15" thickBot="1" x14ac:dyDescent="0.4">
      <c r="AR17" t="e">
        <f ca="1">SUM(AR4:AR16)</f>
        <v>#NAME?</v>
      </c>
    </row>
    <row r="18" spans="6:44" ht="15" thickTop="1" x14ac:dyDescent="0.35">
      <c r="F18" s="2"/>
      <c r="G18" s="2" t="s">
        <v>42</v>
      </c>
      <c r="H18" s="2" t="s">
        <v>43</v>
      </c>
      <c r="I18" s="2" t="s">
        <v>44</v>
      </c>
      <c r="J18" s="2" t="s">
        <v>34</v>
      </c>
      <c r="K18" s="2" t="s">
        <v>45</v>
      </c>
      <c r="L18" s="2" t="s">
        <v>46</v>
      </c>
      <c r="R18" t="e">
        <f t="array" aca="1" ref="R18:S22" ca="1">[2]!ProbitTest(A4:D15,TRUE,FALSE)</f>
        <v>#NAME?</v>
      </c>
      <c r="S18" s="27" t="e">
        <f ca="1"/>
        <v>#NAME?</v>
      </c>
    </row>
    <row r="19" spans="6:44" x14ac:dyDescent="0.35">
      <c r="F19" t="s">
        <v>47</v>
      </c>
      <c r="G19" t="e">
        <f t="array" aca="1" ref="G19:G21" ca="1">U5:U7</f>
        <v>#NAME?</v>
      </c>
      <c r="H19" t="e">
        <f t="array" aca="1" ref="H19:H21" ca="1">SQRT([2]!DIAG(Z4:AB6))</f>
        <v>#NAME?</v>
      </c>
      <c r="I19" t="e">
        <f ca="1">(G19/H19)^2</f>
        <v>#NAME?</v>
      </c>
      <c r="J19" t="e">
        <f ca="1">CHIDIST(I19,1)</f>
        <v>#NAME?</v>
      </c>
      <c r="K19" t="e">
        <f ca="1">G19-H19*NORMSINV(1-$X$9/2)</f>
        <v>#NAME?</v>
      </c>
      <c r="L19" t="e">
        <f ca="1">G19+H19*NORMSINV(1-$X$9/2)</f>
        <v>#NAME?</v>
      </c>
      <c r="R19" t="e">
        <f ca="1"/>
        <v>#NAME?</v>
      </c>
      <c r="S19" s="28" t="e">
        <f ca="1"/>
        <v>#NAME?</v>
      </c>
    </row>
    <row r="20" spans="6:44" x14ac:dyDescent="0.35">
      <c r="F20" t="str">
        <f t="array" ref="F20:F21">TRANSPOSE(F3:G3)</f>
        <v>Temp</v>
      </c>
      <c r="G20" t="e">
        <f ca="1"/>
        <v>#NAME?</v>
      </c>
      <c r="H20" t="e">
        <f ca="1"/>
        <v>#NAME?</v>
      </c>
      <c r="I20" t="e">
        <f ca="1">(G20/H20)^2</f>
        <v>#NAME?</v>
      </c>
      <c r="J20" t="e">
        <f ca="1">CHIDIST(I20,1)</f>
        <v>#NAME?</v>
      </c>
      <c r="K20" t="e">
        <f ca="1">G20-H20*NORMSINV(1-$X$9/2)</f>
        <v>#NAME?</v>
      </c>
      <c r="L20" t="e">
        <f ca="1">G20+H20*NORMSINV(1-$X$9/2)</f>
        <v>#NAME?</v>
      </c>
      <c r="R20" t="e">
        <f ca="1"/>
        <v>#NAME?</v>
      </c>
      <c r="S20" s="28" t="e">
        <f ca="1"/>
        <v>#NAME?</v>
      </c>
    </row>
    <row r="21" spans="6:44" x14ac:dyDescent="0.35">
      <c r="F21" s="19" t="str">
        <v>Water</v>
      </c>
      <c r="G21" s="19" t="e">
        <f ca="1"/>
        <v>#NAME?</v>
      </c>
      <c r="H21" s="19" t="e">
        <f ca="1"/>
        <v>#NAME?</v>
      </c>
      <c r="I21" s="19" t="e">
        <f ca="1">(G21/H21)^2</f>
        <v>#NAME?</v>
      </c>
      <c r="J21" s="19" t="e">
        <f ca="1">CHIDIST(I21,1)</f>
        <v>#NAME?</v>
      </c>
      <c r="K21" s="19" t="e">
        <f ca="1">G21-H21*NORMSINV(1-$X$9/2)</f>
        <v>#NAME?</v>
      </c>
      <c r="L21" s="19" t="e">
        <f ca="1">G21+H21*NORMSINV(1-$X$9/2)</f>
        <v>#NAME?</v>
      </c>
      <c r="R21" t="e">
        <f ca="1"/>
        <v>#NAME?</v>
      </c>
      <c r="S21" s="28" t="e">
        <f ca="1"/>
        <v>#NAME?</v>
      </c>
    </row>
    <row r="22" spans="6:44" ht="15" thickBot="1" x14ac:dyDescent="0.4">
      <c r="R22" t="e">
        <f ca="1"/>
        <v>#NAME?</v>
      </c>
      <c r="S22" s="29" t="e">
        <f ca="1"/>
        <v>#NAME?</v>
      </c>
    </row>
    <row r="23" spans="6:44" ht="15" thickTop="1" x14ac:dyDescent="0.35">
      <c r="F23" s="2" t="e">
        <f t="array" aca="1" ref="F23:L26" ca="1">[2]!ProbitCoeff(A3:D15,TRUE,FALSE,TRUE)</f>
        <v>#NAME?</v>
      </c>
      <c r="G23" s="2" t="e">
        <f ca="1"/>
        <v>#NAME?</v>
      </c>
      <c r="H23" s="2" t="e">
        <f ca="1"/>
        <v>#NAME?</v>
      </c>
      <c r="I23" s="2" t="e">
        <f ca="1"/>
        <v>#NAME?</v>
      </c>
      <c r="J23" s="2" t="e">
        <f ca="1"/>
        <v>#NAME?</v>
      </c>
      <c r="K23" s="2" t="e">
        <f ca="1"/>
        <v>#NAME?</v>
      </c>
      <c r="L23" s="2" t="e">
        <f ca="1"/>
        <v>#NAME?</v>
      </c>
      <c r="N23" s="1" t="s">
        <v>4</v>
      </c>
      <c r="O23" s="1" t="s">
        <v>5</v>
      </c>
      <c r="P23" s="1" t="s">
        <v>48</v>
      </c>
    </row>
    <row r="24" spans="6:44" x14ac:dyDescent="0.35">
      <c r="F24" t="e">
        <f ca="1"/>
        <v>#NAME?</v>
      </c>
      <c r="G24" t="e">
        <f ca="1"/>
        <v>#NAME?</v>
      </c>
      <c r="H24" t="e">
        <f ca="1"/>
        <v>#NAME?</v>
      </c>
      <c r="I24" t="e">
        <f ca="1"/>
        <v>#NAME?</v>
      </c>
      <c r="J24" t="e">
        <f ca="1"/>
        <v>#NAME?</v>
      </c>
      <c r="K24" t="e">
        <f ca="1"/>
        <v>#NAME?</v>
      </c>
      <c r="L24" t="e">
        <f ca="1"/>
        <v>#NAME?</v>
      </c>
      <c r="N24" s="5">
        <v>20</v>
      </c>
      <c r="O24" s="6">
        <v>0</v>
      </c>
      <c r="P24" s="6" t="e">
        <f t="array" aca="1" ref="P24:P26" ca="1">[2]!ProbitPred(N24:O26,$A$4:$D$15,FALSE)</f>
        <v>#NAME?</v>
      </c>
      <c r="R24" t="e">
        <f t="array" aca="1" ref="R24:S30" ca="1">[2]!ProbitRSquare(A4:D15,TRUE,FALSE)</f>
        <v>#NAME?</v>
      </c>
      <c r="S24" s="27" t="e">
        <f ca="1"/>
        <v>#NAME?</v>
      </c>
    </row>
    <row r="25" spans="6:44" x14ac:dyDescent="0.35">
      <c r="F25" t="e">
        <f ca="1"/>
        <v>#NAME?</v>
      </c>
      <c r="G25" t="e">
        <f ca="1"/>
        <v>#NAME?</v>
      </c>
      <c r="H25" t="e">
        <f ca="1"/>
        <v>#NAME?</v>
      </c>
      <c r="I25" t="e">
        <f ca="1"/>
        <v>#NAME?</v>
      </c>
      <c r="J25" t="e">
        <f ca="1"/>
        <v>#NAME?</v>
      </c>
      <c r="K25" t="e">
        <f ca="1"/>
        <v>#NAME?</v>
      </c>
      <c r="L25" t="e">
        <f ca="1"/>
        <v>#NAME?</v>
      </c>
      <c r="N25" s="17">
        <v>21</v>
      </c>
      <c r="O25" s="18">
        <v>1</v>
      </c>
      <c r="P25" s="18" t="e">
        <f ca="1"/>
        <v>#NAME?</v>
      </c>
      <c r="R25" t="e">
        <f ca="1"/>
        <v>#NAME?</v>
      </c>
      <c r="S25" s="28" t="e">
        <f ca="1"/>
        <v>#NAME?</v>
      </c>
    </row>
    <row r="26" spans="6:44" x14ac:dyDescent="0.35">
      <c r="F26" s="19" t="e">
        <f ca="1"/>
        <v>#NAME?</v>
      </c>
      <c r="G26" s="19" t="e">
        <f ca="1"/>
        <v>#NAME?</v>
      </c>
      <c r="H26" s="19" t="e">
        <f ca="1"/>
        <v>#NAME?</v>
      </c>
      <c r="I26" s="19" t="e">
        <f ca="1"/>
        <v>#NAME?</v>
      </c>
      <c r="J26" s="19" t="e">
        <f ca="1"/>
        <v>#NAME?</v>
      </c>
      <c r="K26" s="19" t="e">
        <f ca="1"/>
        <v>#NAME?</v>
      </c>
      <c r="L26" s="19" t="e">
        <f ca="1"/>
        <v>#NAME?</v>
      </c>
      <c r="N26" s="24">
        <v>21.5</v>
      </c>
      <c r="O26" s="25">
        <v>0</v>
      </c>
      <c r="P26" s="25" t="e">
        <f ca="1"/>
        <v>#NAME?</v>
      </c>
      <c r="R26" t="e">
        <f ca="1"/>
        <v>#NAME?</v>
      </c>
      <c r="S26" s="28" t="e">
        <f ca="1"/>
        <v>#NAME?</v>
      </c>
    </row>
    <row r="27" spans="6:44" x14ac:dyDescent="0.35">
      <c r="R27" t="e">
        <f ca="1"/>
        <v>#NAME?</v>
      </c>
      <c r="S27" s="28" t="e">
        <f ca="1"/>
        <v>#NAME?</v>
      </c>
    </row>
    <row r="28" spans="6:44" x14ac:dyDescent="0.35">
      <c r="R28" t="e">
        <f ca="1"/>
        <v>#NAME?</v>
      </c>
      <c r="S28" s="28" t="e">
        <f ca="1"/>
        <v>#NAME?</v>
      </c>
    </row>
    <row r="29" spans="6:44" x14ac:dyDescent="0.35">
      <c r="R29" t="e">
        <f ca="1"/>
        <v>#NAME?</v>
      </c>
      <c r="S29" s="28" t="e">
        <f ca="1"/>
        <v>#NAME?</v>
      </c>
    </row>
    <row r="30" spans="6:44" x14ac:dyDescent="0.35">
      <c r="R30" t="e">
        <f ca="1"/>
        <v>#NAME?</v>
      </c>
      <c r="S30" s="29" t="e">
        <f ca="1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Solver</vt:lpstr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2026-01-01T16:24:45Z</dcterms:created>
  <dcterms:modified xsi:type="dcterms:W3CDTF">2026-01-01T16:27:00Z</dcterms:modified>
</cp:coreProperties>
</file>