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A4AA0D04-42BE-4602-A751-A5EBDAFB1F95}" xr6:coauthVersionLast="47" xr6:coauthVersionMax="47" xr10:uidLastSave="{00000000-0000-0000-0000-000000000000}"/>
  <bookViews>
    <workbookView xWindow="-110" yWindow="-110" windowWidth="19420" windowHeight="10300" xr2:uid="{4C606047-998F-4C15-AAED-F56E0FA19CDE}"/>
  </bookViews>
  <sheets>
    <sheet name="Title" sheetId="2" r:id="rId1"/>
    <sheet name="Rand Anova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K20" i="1"/>
  <c r="J20" i="1"/>
  <c r="K19" i="1"/>
  <c r="J19" i="1"/>
  <c r="I15" i="1"/>
  <c r="H15" i="1"/>
  <c r="J15" i="1" s="1"/>
  <c r="H14" i="1"/>
  <c r="R10" i="1"/>
  <c r="L9" i="1"/>
  <c r="K9" i="1"/>
  <c r="J9" i="1"/>
  <c r="I9" i="1"/>
  <c r="H9" i="1"/>
  <c r="G9" i="1"/>
  <c r="V8" i="1"/>
  <c r="V10" i="1" s="1"/>
  <c r="U8" i="1"/>
  <c r="U10" i="1" s="1"/>
  <c r="T8" i="1"/>
  <c r="T10" i="1" s="1"/>
  <c r="S8" i="1"/>
  <c r="S10" i="1" s="1"/>
  <c r="R8" i="1"/>
  <c r="L8" i="1"/>
  <c r="K8" i="1"/>
  <c r="J8" i="1"/>
  <c r="I8" i="1"/>
  <c r="H8" i="1"/>
  <c r="G8" i="1"/>
  <c r="V7" i="1"/>
  <c r="U7" i="1"/>
  <c r="T7" i="1"/>
  <c r="S7" i="1"/>
  <c r="R7" i="1"/>
  <c r="L7" i="1"/>
  <c r="K7" i="1"/>
  <c r="J7" i="1"/>
  <c r="I7" i="1"/>
  <c r="H7" i="1"/>
  <c r="G7" i="1"/>
  <c r="V6" i="1"/>
  <c r="U6" i="1"/>
  <c r="T6" i="1"/>
  <c r="S6" i="1"/>
  <c r="R6" i="1"/>
  <c r="L6" i="1"/>
  <c r="K6" i="1"/>
  <c r="J6" i="1"/>
  <c r="I6" i="1"/>
  <c r="H6" i="1"/>
  <c r="G6" i="1"/>
  <c r="L5" i="1"/>
  <c r="K5" i="1"/>
  <c r="J5" i="1"/>
  <c r="I5" i="1"/>
  <c r="H5" i="1"/>
  <c r="G5" i="1"/>
  <c r="I13" i="1" s="1"/>
  <c r="J14" i="1" l="1"/>
  <c r="J23" i="1"/>
  <c r="I14" i="1"/>
  <c r="I20" i="1" s="1"/>
  <c r="H13" i="1"/>
  <c r="M13" i="1" l="1"/>
  <c r="J13" i="1"/>
  <c r="N13" i="1"/>
  <c r="O13" i="1"/>
  <c r="M9" i="1"/>
  <c r="M8" i="1"/>
  <c r="H20" i="1"/>
  <c r="M5" i="1"/>
  <c r="M7" i="1"/>
  <c r="M6" i="1"/>
  <c r="O6" i="1" l="1"/>
  <c r="N6" i="1"/>
  <c r="O7" i="1"/>
  <c r="N7" i="1"/>
  <c r="N5" i="1"/>
  <c r="O5" i="1"/>
  <c r="M20" i="1"/>
  <c r="L20" i="1"/>
  <c r="O8" i="1"/>
  <c r="N8" i="1"/>
  <c r="O9" i="1"/>
  <c r="N9" i="1"/>
  <c r="I23" i="1"/>
  <c r="K13" i="1"/>
  <c r="L13" i="1" s="1"/>
  <c r="H19" i="1"/>
  <c r="L19" i="1" l="1"/>
  <c r="I19" i="1"/>
  <c r="M19" i="1"/>
  <c r="K23" i="1"/>
  <c r="L23" i="1"/>
</calcChain>
</file>

<file path=xl/sharedStrings.xml><?xml version="1.0" encoding="utf-8"?>
<sst xmlns="http://schemas.openxmlformats.org/spreadsheetml/2006/main" count="56" uniqueCount="46">
  <si>
    <t>One Sample Random ANOVA</t>
  </si>
  <si>
    <t>ANOVA: Single Factor</t>
  </si>
  <si>
    <t>Region 1</t>
  </si>
  <si>
    <t>Region 2</t>
  </si>
  <si>
    <t>Region 3</t>
  </si>
  <si>
    <t>Region 4</t>
  </si>
  <si>
    <t>Region 5</t>
  </si>
  <si>
    <t>DESCRIPTION</t>
  </si>
  <si>
    <t>Alpha</t>
  </si>
  <si>
    <t>Groups</t>
  </si>
  <si>
    <t>Count</t>
  </si>
  <si>
    <t>Sum</t>
  </si>
  <si>
    <t>Mean</t>
  </si>
  <si>
    <t>Variance</t>
  </si>
  <si>
    <t>SS</t>
  </si>
  <si>
    <t>Std Err</t>
  </si>
  <si>
    <t>Lower</t>
  </si>
  <si>
    <t>Upper</t>
  </si>
  <si>
    <t>Shapiro-Wilk Test</t>
  </si>
  <si>
    <t>W</t>
  </si>
  <si>
    <t>p-value</t>
  </si>
  <si>
    <t>alpha</t>
  </si>
  <si>
    <t>normal</t>
  </si>
  <si>
    <t>ANOVA</t>
  </si>
  <si>
    <t>Sources</t>
  </si>
  <si>
    <t>df</t>
  </si>
  <si>
    <t>MS</t>
  </si>
  <si>
    <t>F</t>
  </si>
  <si>
    <t>P value</t>
  </si>
  <si>
    <t>Eta-sq</t>
  </si>
  <si>
    <t>RMSSE</t>
  </si>
  <si>
    <t>Omega Sq</t>
  </si>
  <si>
    <t>Between Groups</t>
  </si>
  <si>
    <t>Within Groups</t>
  </si>
  <si>
    <t>Total</t>
  </si>
  <si>
    <t>RANDOM FACTOR</t>
  </si>
  <si>
    <t>Estimate</t>
  </si>
  <si>
    <t>chi crit -</t>
  </si>
  <si>
    <t>chi crit +</t>
  </si>
  <si>
    <t>Group</t>
  </si>
  <si>
    <t>Error</t>
  </si>
  <si>
    <t>t-crit</t>
  </si>
  <si>
    <t>Real Statistics Using Excel</t>
  </si>
  <si>
    <t>Updated</t>
  </si>
  <si>
    <t>Copyright © 2013 - 2026 Charles Zaiontz</t>
  </si>
  <si>
    <t>One Random Factor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</si>
</sst>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2" fillId="0" borderId="4" xfId="0" applyFont="1" applyBorder="1" applyAlignment="1">
      <alignment horizontal="center"/>
    </xf>
    <xf numFmtId="164" fontId="0" fillId="0" borderId="5" xfId="0" applyNumberFormat="1" applyBorder="1"/>
    <xf numFmtId="164" fontId="0" fillId="0" borderId="0" xfId="0" applyNumberFormat="1"/>
    <xf numFmtId="164" fontId="0" fillId="0" borderId="6" xfId="0" applyNumberFormat="1" applyBorder="1"/>
    <xf numFmtId="0" fontId="2" fillId="0" borderId="7" xfId="0" applyFont="1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7" xfId="0" applyBorder="1" applyAlignment="1">
      <alignment horizontal="right"/>
    </xf>
    <xf numFmtId="164" fontId="0" fillId="0" borderId="8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0" fontId="0" fillId="0" borderId="10" xfId="0" applyBorder="1"/>
    <xf numFmtId="164" fontId="0" fillId="0" borderId="10" xfId="0" applyNumberFormat="1" applyBorder="1"/>
    <xf numFmtId="15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rles\AppData\Roaming\Microsoft\AddIns\XRealStatsX.xlam" TargetMode="External"/><Relationship Id="rId1" Type="http://schemas.openxmlformats.org/officeDocument/2006/relationships/externalLinkPath" Target="file:///C:\Users\Charles\AppData\Roaming\Microsoft\AddIns\XRealStatsX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g"/>
      <sheetName val="Wilcoxon Table"/>
      <sheetName val="Mann Table"/>
      <sheetName val="Runs Table"/>
      <sheetName val="KS Table"/>
      <sheetName val="KS2 Table"/>
      <sheetName val="Lil Table"/>
      <sheetName val="AD Table"/>
      <sheetName val="AD2 Table"/>
      <sheetName val="SW Table"/>
      <sheetName val="Stud. Q Table"/>
      <sheetName val="Stud. Q Table 2"/>
      <sheetName val="Sp Rho Table"/>
      <sheetName val="Ken Tau Table"/>
      <sheetName val="Durbin Table"/>
      <sheetName val="Dunnett Table"/>
      <sheetName val="Dunnett 1"/>
      <sheetName val="Kendall Tc"/>
      <sheetName val="Kendall u"/>
      <sheetName val="Page Table"/>
      <sheetName val="Prime"/>
      <sheetName val="MSSD"/>
      <sheetName val="Dict"/>
      <sheetName val="ADict"/>
      <sheetName val="L4 2"/>
      <sheetName val="L8 2"/>
      <sheetName val="L8 42"/>
      <sheetName val="L9 3"/>
      <sheetName val="L12 2"/>
      <sheetName val="L16 2"/>
      <sheetName val="L16 4"/>
      <sheetName val="L16 42a"/>
      <sheetName val="L18 23"/>
      <sheetName val="L18 63"/>
      <sheetName val="L25 5"/>
      <sheetName val="L27 3"/>
      <sheetName val="L32 2"/>
      <sheetName val="L32 24"/>
      <sheetName val="L36 23a"/>
      <sheetName val="L36 23b"/>
      <sheetName val="L50 25"/>
      <sheetName val="L54 23"/>
      <sheetName val="L64 4"/>
      <sheetName val="T2"/>
      <sheetName val="T3"/>
      <sheetName val="T4"/>
      <sheetName val="Roy"/>
      <sheetName val="Pillai"/>
      <sheetName val="Wilk"/>
      <sheetName val="Hotel"/>
      <sheetName val="XRealStatsX"/>
    </sheetNames>
    <definedNames>
      <definedName name="CHISQ_INV"/>
      <definedName name="SHAPIRO"/>
      <definedName name="SWTES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27AA-0576-46F8-8798-D2A1780BCEE5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42</v>
      </c>
    </row>
    <row r="2" spans="1:13" x14ac:dyDescent="0.35">
      <c r="A2" t="s">
        <v>45</v>
      </c>
    </row>
    <row r="4" spans="1:13" x14ac:dyDescent="0.35">
      <c r="A4" t="s">
        <v>43</v>
      </c>
      <c r="B4" s="19">
        <v>46023</v>
      </c>
    </row>
    <row r="6" spans="1:13" x14ac:dyDescent="0.35">
      <c r="A6" s="20" t="s">
        <v>44</v>
      </c>
    </row>
    <row r="10" spans="1:13" ht="18.5" x14ac:dyDescent="0.45">
      <c r="M10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ECB91-5FE7-40ED-9876-6A054DBE0843}">
  <sheetPr codeName="Sheet374"/>
  <dimension ref="A1:V23"/>
  <sheetViews>
    <sheetView workbookViewId="0"/>
  </sheetViews>
  <sheetFormatPr defaultRowHeight="14.5" x14ac:dyDescent="0.35"/>
  <cols>
    <col min="7" max="7" width="15.7265625" customWidth="1"/>
  </cols>
  <sheetData>
    <row r="1" spans="1:22" x14ac:dyDescent="0.35">
      <c r="A1" s="1" t="s">
        <v>0</v>
      </c>
      <c r="G1" t="s">
        <v>1</v>
      </c>
    </row>
    <row r="3" spans="1:22" ht="15" thickBot="1" x14ac:dyDescent="0.4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G3" t="s">
        <v>7</v>
      </c>
      <c r="L3" t="s">
        <v>8</v>
      </c>
      <c r="M3">
        <v>0.05</v>
      </c>
    </row>
    <row r="4" spans="1:22" ht="15" thickTop="1" x14ac:dyDescent="0.35">
      <c r="A4" s="3">
        <v>34.5</v>
      </c>
      <c r="B4" s="4">
        <v>48.9</v>
      </c>
      <c r="C4" s="4">
        <v>57.7</v>
      </c>
      <c r="D4" s="4">
        <v>41.6</v>
      </c>
      <c r="E4" s="5">
        <v>13.7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Q4" t="s">
        <v>18</v>
      </c>
    </row>
    <row r="5" spans="1:22" x14ac:dyDescent="0.35">
      <c r="A5" s="7">
        <v>24.9</v>
      </c>
      <c r="B5" s="8">
        <v>65</v>
      </c>
      <c r="C5" s="8">
        <v>29.6</v>
      </c>
      <c r="D5" s="8">
        <v>32.799999999999997</v>
      </c>
      <c r="E5" s="9">
        <v>27.9</v>
      </c>
      <c r="G5" t="str">
        <f>A3</f>
        <v>Region 1</v>
      </c>
      <c r="H5">
        <f>COUNT(A4:A13)</f>
        <v>10</v>
      </c>
      <c r="I5" s="8">
        <f>SUM(A4:A13)</f>
        <v>405.3</v>
      </c>
      <c r="J5" s="8">
        <f>AVERAGE(A4:A13)</f>
        <v>40.53</v>
      </c>
      <c r="K5">
        <f>VAR(A4:A13)</f>
        <v>195.61788888888864</v>
      </c>
      <c r="L5">
        <f>DEVSQ(A4:A13)</f>
        <v>1760.5609999999999</v>
      </c>
      <c r="M5">
        <f>SQRT(J14/H5)</f>
        <v>4.2808506423632933</v>
      </c>
      <c r="N5">
        <f>J5-M5*TINV(M3,H5-1)</f>
        <v>30.846043056508577</v>
      </c>
      <c r="O5">
        <f>J5+M5*TINV(M3,H5-1)</f>
        <v>50.213956943491425</v>
      </c>
    </row>
    <row r="6" spans="1:22" x14ac:dyDescent="0.35">
      <c r="A6" s="7">
        <v>40.4</v>
      </c>
      <c r="B6" s="8">
        <v>35.6</v>
      </c>
      <c r="C6" s="8">
        <v>38.799999999999997</v>
      </c>
      <c r="D6" s="8">
        <v>59.2</v>
      </c>
      <c r="E6" s="9">
        <v>37.799999999999997</v>
      </c>
      <c r="G6" t="str">
        <f>B3</f>
        <v>Region 2</v>
      </c>
      <c r="H6">
        <f>COUNT(B4:B13)</f>
        <v>10</v>
      </c>
      <c r="I6" s="8">
        <f>SUM(B4:B13)</f>
        <v>520.79999999999995</v>
      </c>
      <c r="J6" s="8">
        <f>AVERAGE(B4:B13)</f>
        <v>52.08</v>
      </c>
      <c r="K6">
        <f>VAR(B4:B13)</f>
        <v>193.29733333333408</v>
      </c>
      <c r="L6">
        <f>DEVSQ(B4:B13)</f>
        <v>1739.6759999999999</v>
      </c>
      <c r="M6">
        <f>SQRT(J14/H6)</f>
        <v>4.2808506423632933</v>
      </c>
      <c r="N6">
        <f>J6-M6*TINV(M3,H6-1)</f>
        <v>42.396043056508574</v>
      </c>
      <c r="O6">
        <f>J6+M6*TINV(M3,H6-1)</f>
        <v>61.763956943491422</v>
      </c>
      <c r="Q6" s="10"/>
      <c r="R6" s="10" t="str">
        <f>A3</f>
        <v>Region 1</v>
      </c>
      <c r="S6" s="10" t="str">
        <f>B3</f>
        <v>Region 2</v>
      </c>
      <c r="T6" s="10" t="str">
        <f>C3</f>
        <v>Region 3</v>
      </c>
      <c r="U6" s="10" t="str">
        <f>D3</f>
        <v>Region 4</v>
      </c>
      <c r="V6" s="10" t="str">
        <f>E3</f>
        <v>Region 5</v>
      </c>
    </row>
    <row r="7" spans="1:22" x14ac:dyDescent="0.35">
      <c r="A7" s="7">
        <v>42.5</v>
      </c>
      <c r="B7" s="8">
        <v>39.700000000000003</v>
      </c>
      <c r="C7" s="8">
        <v>34.6</v>
      </c>
      <c r="D7" s="8">
        <v>45</v>
      </c>
      <c r="E7" s="9">
        <v>41.5</v>
      </c>
      <c r="G7" t="str">
        <f>C3</f>
        <v>Region 3</v>
      </c>
      <c r="H7">
        <f>COUNT(C4:C13)</f>
        <v>10</v>
      </c>
      <c r="I7" s="8">
        <f>SUM(C4:C13)</f>
        <v>455.60000000000008</v>
      </c>
      <c r="J7" s="8">
        <f>AVERAGE(C4:C13)</f>
        <v>45.560000000000009</v>
      </c>
      <c r="K7">
        <f>VAR(C4:C13)</f>
        <v>177.63822222222129</v>
      </c>
      <c r="L7">
        <f>DEVSQ(C4:C13)</f>
        <v>1598.7439999999997</v>
      </c>
      <c r="M7">
        <f>SQRT(J14/H7)</f>
        <v>4.2808506423632933</v>
      </c>
      <c r="N7">
        <f>J7-M7*TINV(M3,H7-1)</f>
        <v>35.876043056508585</v>
      </c>
      <c r="O7">
        <f>J7+M7*TINV(M3,H7-1)</f>
        <v>55.243956943491433</v>
      </c>
      <c r="Q7" t="s">
        <v>19</v>
      </c>
      <c r="R7" t="e">
        <f ca="1">[1]!SHAPIRO(A4:A13)</f>
        <v>#NAME?</v>
      </c>
      <c r="S7" t="e">
        <f ca="1">[1]!SHAPIRO(B4:B13)</f>
        <v>#NAME?</v>
      </c>
      <c r="T7" t="e">
        <f ca="1">[1]!SHAPIRO(C4:C13)</f>
        <v>#NAME?</v>
      </c>
      <c r="U7" t="e">
        <f ca="1">[1]!SHAPIRO(D4:D13)</f>
        <v>#NAME?</v>
      </c>
      <c r="V7" t="e">
        <f ca="1">[1]!SHAPIRO(E4:E13)</f>
        <v>#NAME?</v>
      </c>
    </row>
    <row r="8" spans="1:22" x14ac:dyDescent="0.35">
      <c r="A8" s="7">
        <v>31</v>
      </c>
      <c r="B8" s="8">
        <v>58.6</v>
      </c>
      <c r="C8" s="8">
        <v>46.7</v>
      </c>
      <c r="D8" s="8">
        <v>67.599999999999994</v>
      </c>
      <c r="E8" s="9">
        <v>23.4</v>
      </c>
      <c r="G8" t="str">
        <f>D3</f>
        <v>Region 4</v>
      </c>
      <c r="H8">
        <f>COUNT(D4:D13)</f>
        <v>10</v>
      </c>
      <c r="I8" s="8">
        <f>SUM(D4:D13)</f>
        <v>535.20000000000005</v>
      </c>
      <c r="J8" s="8">
        <f>AVERAGE(D4:D13)</f>
        <v>53.52</v>
      </c>
      <c r="K8">
        <f>VAR(D4:D13)</f>
        <v>182.73733333333317</v>
      </c>
      <c r="L8">
        <f>DEVSQ(D4:D13)</f>
        <v>1644.636</v>
      </c>
      <c r="M8">
        <f>SQRT(J14/H8)</f>
        <v>4.2808506423632933</v>
      </c>
      <c r="N8">
        <f>J8-M8*TINV(M3,H8-1)</f>
        <v>43.836043056508579</v>
      </c>
      <c r="O8">
        <f>J8+M8*TINV(M3,H8-1)</f>
        <v>63.203956943491427</v>
      </c>
      <c r="Q8" t="s">
        <v>20</v>
      </c>
      <c r="R8" t="e">
        <f ca="1">[1]!SWTEST(A4:A13)</f>
        <v>#NAME?</v>
      </c>
      <c r="S8" t="e">
        <f ca="1">[1]!SWTEST(B4:B13)</f>
        <v>#NAME?</v>
      </c>
      <c r="T8" t="e">
        <f ca="1">[1]!SWTEST(C4:C13)</f>
        <v>#NAME?</v>
      </c>
      <c r="U8" t="e">
        <f ca="1">[1]!SWTEST(D4:D13)</f>
        <v>#NAME?</v>
      </c>
      <c r="V8" t="e">
        <f ca="1">[1]!SWTEST(E4:E13)</f>
        <v>#NAME?</v>
      </c>
    </row>
    <row r="9" spans="1:22" x14ac:dyDescent="0.35">
      <c r="A9" s="7">
        <v>34.6</v>
      </c>
      <c r="B9" s="8">
        <v>60.1</v>
      </c>
      <c r="C9" s="8">
        <v>42.3</v>
      </c>
      <c r="D9" s="8">
        <v>67.400000000000006</v>
      </c>
      <c r="E9" s="9">
        <v>39.299999999999997</v>
      </c>
      <c r="G9" t="str">
        <f>E3</f>
        <v>Region 5</v>
      </c>
      <c r="H9">
        <f>COUNT(E4:E13)</f>
        <v>10</v>
      </c>
      <c r="I9" s="8">
        <f>SUM(E4:E13)</f>
        <v>346.99999999999994</v>
      </c>
      <c r="J9" s="8">
        <f>AVERAGE(E4:E13)</f>
        <v>34.699999999999996</v>
      </c>
      <c r="K9">
        <f>VAR(E4:E13)</f>
        <v>166.9933333333336</v>
      </c>
      <c r="L9">
        <f>DEVSQ(E4:E13)</f>
        <v>1502.9399999999998</v>
      </c>
      <c r="M9">
        <f>SQRT(J14/H9)</f>
        <v>4.2808506423632933</v>
      </c>
      <c r="N9">
        <f>J9-M9*TINV(M3,H9-1)</f>
        <v>25.016043056508572</v>
      </c>
      <c r="O9">
        <f>J9+M9*TINV(M3,H9-1)</f>
        <v>44.38395694349142</v>
      </c>
      <c r="Q9" t="s">
        <v>21</v>
      </c>
      <c r="R9">
        <v>0.05</v>
      </c>
      <c r="S9">
        <v>0.05</v>
      </c>
      <c r="T9">
        <v>0.05</v>
      </c>
      <c r="U9">
        <v>0.05</v>
      </c>
      <c r="V9">
        <v>0.05</v>
      </c>
    </row>
    <row r="10" spans="1:22" x14ac:dyDescent="0.35">
      <c r="A10" s="7">
        <v>21.8</v>
      </c>
      <c r="B10" s="8">
        <v>64.7</v>
      </c>
      <c r="C10" s="8">
        <v>39.6</v>
      </c>
      <c r="D10" s="8">
        <v>63.1</v>
      </c>
      <c r="E10" s="9">
        <v>36.9</v>
      </c>
      <c r="G10" s="11"/>
      <c r="H10" s="11"/>
      <c r="I10" s="11"/>
      <c r="J10" s="11"/>
      <c r="K10" s="11"/>
      <c r="L10" s="11"/>
      <c r="M10" s="11"/>
      <c r="N10" s="11"/>
      <c r="O10" s="11"/>
      <c r="Q10" s="12" t="s">
        <v>22</v>
      </c>
      <c r="R10" s="13" t="e">
        <f ca="1">IF(R8&lt;R9,"no","yes")</f>
        <v>#NAME?</v>
      </c>
      <c r="S10" s="13" t="e">
        <f ca="1">IF(S8&lt;S9,"no","yes")</f>
        <v>#NAME?</v>
      </c>
      <c r="T10" s="13" t="e">
        <f ca="1">IF(T8&lt;T9,"no","yes")</f>
        <v>#NAME?</v>
      </c>
      <c r="U10" s="13" t="e">
        <f ca="1">IF(U8&lt;U9,"no","yes")</f>
        <v>#NAME?</v>
      </c>
      <c r="V10" s="13" t="e">
        <f ca="1">IF(V8&lt;V9,"no","yes")</f>
        <v>#NAME?</v>
      </c>
    </row>
    <row r="11" spans="1:22" ht="15" thickBot="1" x14ac:dyDescent="0.4">
      <c r="A11" s="7">
        <v>62</v>
      </c>
      <c r="B11" s="8">
        <v>59.3</v>
      </c>
      <c r="C11" s="8">
        <v>61.8</v>
      </c>
      <c r="D11" s="8">
        <v>65.599999999999994</v>
      </c>
      <c r="E11" s="9">
        <v>61.3</v>
      </c>
      <c r="G11" t="s">
        <v>23</v>
      </c>
    </row>
    <row r="12" spans="1:22" ht="15" thickTop="1" x14ac:dyDescent="0.35">
      <c r="A12" s="7">
        <v>54.7</v>
      </c>
      <c r="B12" s="8">
        <v>63.2</v>
      </c>
      <c r="C12" s="8">
        <v>70</v>
      </c>
      <c r="D12" s="8">
        <v>57.4</v>
      </c>
      <c r="E12" s="9">
        <v>25.9</v>
      </c>
      <c r="G12" s="6" t="s">
        <v>24</v>
      </c>
      <c r="H12" s="6" t="s">
        <v>14</v>
      </c>
      <c r="I12" s="6" t="s">
        <v>25</v>
      </c>
      <c r="J12" s="6" t="s">
        <v>26</v>
      </c>
      <c r="K12" s="6" t="s">
        <v>27</v>
      </c>
      <c r="L12" s="6" t="s">
        <v>28</v>
      </c>
      <c r="M12" s="6" t="s">
        <v>29</v>
      </c>
      <c r="N12" s="6" t="s">
        <v>30</v>
      </c>
      <c r="O12" s="6" t="s">
        <v>31</v>
      </c>
    </row>
    <row r="13" spans="1:22" x14ac:dyDescent="0.35">
      <c r="A13" s="14">
        <v>58.9</v>
      </c>
      <c r="B13" s="15">
        <v>25.7</v>
      </c>
      <c r="C13" s="15">
        <v>34.5</v>
      </c>
      <c r="D13" s="15">
        <v>35.5</v>
      </c>
      <c r="E13" s="16">
        <v>39.299999999999997</v>
      </c>
      <c r="G13" t="s">
        <v>32</v>
      </c>
      <c r="H13">
        <f>H15-H14</f>
        <v>2487.148799999999</v>
      </c>
      <c r="I13">
        <f>COUNTA(G5:G9)-1</f>
        <v>4</v>
      </c>
      <c r="J13">
        <f>H13/I13</f>
        <v>621.78719999999976</v>
      </c>
      <c r="K13">
        <f>J13/J14</f>
        <v>3.3929825501721491</v>
      </c>
      <c r="L13">
        <f>FDIST(K13,I13,I14)</f>
        <v>1.6504701725843174E-2</v>
      </c>
      <c r="M13">
        <f>H13/H15</f>
        <v>0.2317138969842083</v>
      </c>
      <c r="N13">
        <f>SQRT(DEVSQ(J5:J9)/(J14*I13))</f>
        <v>0.58249313731340668</v>
      </c>
      <c r="O13">
        <f>(H15-I15*J14)/(H15+J14)</f>
        <v>0.16067853044952968</v>
      </c>
    </row>
    <row r="14" spans="1:22" x14ac:dyDescent="0.35">
      <c r="G14" t="s">
        <v>33</v>
      </c>
      <c r="H14">
        <f>SUM(L5:L9)</f>
        <v>8246.5570000000007</v>
      </c>
      <c r="I14">
        <f>I15-I13</f>
        <v>45</v>
      </c>
      <c r="J14">
        <f>H14/I14</f>
        <v>183.25682222222224</v>
      </c>
    </row>
    <row r="15" spans="1:22" x14ac:dyDescent="0.35">
      <c r="G15" s="12" t="s">
        <v>34</v>
      </c>
      <c r="H15" s="12">
        <f>DEVSQ(A4:E13)</f>
        <v>10733.7058</v>
      </c>
      <c r="I15" s="12">
        <f>COUNT(A4:E13)-1</f>
        <v>49</v>
      </c>
      <c r="J15" s="12">
        <f>H15/I15</f>
        <v>219.05522040816325</v>
      </c>
      <c r="K15" s="12"/>
      <c r="L15" s="12"/>
      <c r="M15" s="12"/>
      <c r="N15" s="12"/>
      <c r="O15" s="12"/>
    </row>
    <row r="17" spans="7:13" ht="15" thickBot="1" x14ac:dyDescent="0.4">
      <c r="G17" t="s">
        <v>35</v>
      </c>
    </row>
    <row r="18" spans="7:13" ht="15" thickTop="1" x14ac:dyDescent="0.35">
      <c r="G18" s="6" t="s">
        <v>13</v>
      </c>
      <c r="H18" s="6" t="s">
        <v>36</v>
      </c>
      <c r="I18" s="6" t="s">
        <v>25</v>
      </c>
      <c r="J18" s="6" t="s">
        <v>37</v>
      </c>
      <c r="K18" s="6" t="s">
        <v>38</v>
      </c>
      <c r="L18" s="6" t="s">
        <v>16</v>
      </c>
      <c r="M18" s="6" t="s">
        <v>17</v>
      </c>
    </row>
    <row r="19" spans="7:13" x14ac:dyDescent="0.35">
      <c r="G19" t="s">
        <v>39</v>
      </c>
      <c r="H19">
        <f>(J13-J14)/H5</f>
        <v>43.85303777777775</v>
      </c>
      <c r="I19">
        <f>(H19*H5)^2/(J13^2/I13-J14^2/I14)</f>
        <v>2.0051279246220481</v>
      </c>
      <c r="J19" t="e">
        <f ca="1">[1]!CHISQ_INV(M3/2,I19)</f>
        <v>#NAME?</v>
      </c>
      <c r="K19" t="e">
        <f ca="1">[1]!CHISQ_INV(1-M3/2,I19)</f>
        <v>#NAME?</v>
      </c>
      <c r="L19" t="e">
        <f ca="1">H19*I19/K19</f>
        <v>#NAME?</v>
      </c>
      <c r="M19" t="e">
        <f ca="1">H19*I19/J19</f>
        <v>#NAME?</v>
      </c>
    </row>
    <row r="20" spans="7:13" x14ac:dyDescent="0.35">
      <c r="G20" s="12" t="s">
        <v>40</v>
      </c>
      <c r="H20" s="12">
        <f>J14</f>
        <v>183.25682222222224</v>
      </c>
      <c r="I20" s="12">
        <f>I14</f>
        <v>45</v>
      </c>
      <c r="J20" s="12" t="e">
        <f ca="1">[1]!CHISQ_INV(M3/2,I20)</f>
        <v>#NAME?</v>
      </c>
      <c r="K20" s="12" t="e">
        <f ca="1">[1]!CHISQ_INV(1-M3/2,I20)</f>
        <v>#NAME?</v>
      </c>
      <c r="L20" s="12" t="e">
        <f ca="1">H20*I20/K20</f>
        <v>#NAME?</v>
      </c>
      <c r="M20" s="12" t="e">
        <f ca="1">H20*I20/J20</f>
        <v>#NAME?</v>
      </c>
    </row>
    <row r="21" spans="7:13" ht="15" thickBot="1" x14ac:dyDescent="0.4"/>
    <row r="22" spans="7:13" ht="15" thickTop="1" x14ac:dyDescent="0.35">
      <c r="G22" s="6"/>
      <c r="H22" s="6" t="s">
        <v>36</v>
      </c>
      <c r="I22" s="6" t="s">
        <v>13</v>
      </c>
      <c r="J22" s="6" t="s">
        <v>41</v>
      </c>
      <c r="K22" s="6" t="s">
        <v>16</v>
      </c>
      <c r="L22" s="6" t="s">
        <v>17</v>
      </c>
    </row>
    <row r="23" spans="7:13" x14ac:dyDescent="0.35">
      <c r="G23" s="17" t="s">
        <v>12</v>
      </c>
      <c r="H23" s="18">
        <f>AVERAGE(A4:E13)</f>
        <v>45.277999999999999</v>
      </c>
      <c r="I23" s="17">
        <f>J13/(H5*(I13+1))</f>
        <v>12.435743999999994</v>
      </c>
      <c r="J23" s="17">
        <f>TINV(M3,I13)</f>
        <v>2.7764451051977934</v>
      </c>
      <c r="K23" s="17">
        <f>H23-SQRT(I23)*J23</f>
        <v>35.487046730351004</v>
      </c>
      <c r="L23" s="17">
        <f>H23+SQRT(I23)*J23</f>
        <v>55.068953269648993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Rand 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2026-01-01T12:15:04Z</dcterms:created>
  <dcterms:modified xsi:type="dcterms:W3CDTF">2026-01-01T12:17:03Z</dcterms:modified>
</cp:coreProperties>
</file>