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FAE8DC3-5E8B-4C82-85E5-499E1F6F3096}" xr6:coauthVersionLast="47" xr6:coauthVersionMax="47" xr10:uidLastSave="{00000000-0000-0000-0000-000000000000}"/>
  <bookViews>
    <workbookView xWindow="-110" yWindow="-110" windowWidth="19420" windowHeight="10300" xr2:uid="{797349BA-A972-4327-AC40-76581892CB72}"/>
  </bookViews>
  <sheets>
    <sheet name="Title" sheetId="3" r:id="rId1"/>
    <sheet name="Exp Reg A" sheetId="1" r:id="rId2"/>
    <sheet name="Exp Reg B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 a="1"/>
  <c r="B17" i="2" s="1"/>
  <c r="Q15" i="2" a="1"/>
  <c r="Q16" i="2" s="1"/>
  <c r="O15" i="2" a="1"/>
  <c r="O16" i="2" s="1"/>
  <c r="I14" i="2" a="1"/>
  <c r="I16" i="2" s="1"/>
  <c r="I10" i="2" a="1"/>
  <c r="J10" i="2" s="1"/>
  <c r="C4" i="2" a="1"/>
  <c r="C5" i="2" s="1"/>
  <c r="J7" i="2"/>
  <c r="I7" i="2"/>
  <c r="Q22" i="1"/>
  <c r="P22" i="1"/>
  <c r="D14" i="1"/>
  <c r="G14" i="1" s="1"/>
  <c r="F19" i="1"/>
  <c r="D13" i="1"/>
  <c r="G13" i="1" s="1"/>
  <c r="D12" i="1"/>
  <c r="G12" i="1" s="1"/>
  <c r="D10" i="1"/>
  <c r="G10" i="1" s="1"/>
  <c r="D9" i="1"/>
  <c r="G9" i="1" s="1"/>
  <c r="D7" i="1"/>
  <c r="G7" i="1" s="1"/>
  <c r="D6" i="1"/>
  <c r="G6" i="1" s="1"/>
  <c r="D4" i="1"/>
  <c r="G4" i="1" s="1"/>
  <c r="C9" i="2" l="1"/>
  <c r="D9" i="2" s="1"/>
  <c r="E9" i="2" s="1"/>
  <c r="C6" i="2"/>
  <c r="D6" i="2" s="1"/>
  <c r="E6" i="2" s="1"/>
  <c r="I11" i="2"/>
  <c r="J16" i="2"/>
  <c r="C7" i="2"/>
  <c r="J11" i="2"/>
  <c r="M11" i="2" s="1"/>
  <c r="K16" i="2"/>
  <c r="C8" i="2"/>
  <c r="D8" i="2" s="1"/>
  <c r="E8" i="2" s="1"/>
  <c r="L16" i="2"/>
  <c r="I14" i="2"/>
  <c r="C10" i="2"/>
  <c r="D10" i="2" s="1"/>
  <c r="E10" i="2" s="1"/>
  <c r="J14" i="2"/>
  <c r="O15" i="2"/>
  <c r="C11" i="2"/>
  <c r="D11" i="2" s="1"/>
  <c r="E11" i="2" s="1"/>
  <c r="K14" i="2"/>
  <c r="C12" i="2"/>
  <c r="D12" i="2" s="1"/>
  <c r="E12" i="2" s="1"/>
  <c r="L14" i="2"/>
  <c r="C13" i="2"/>
  <c r="I15" i="2"/>
  <c r="Q15" i="2"/>
  <c r="C14" i="2"/>
  <c r="D14" i="2" s="1"/>
  <c r="E14" i="2" s="1"/>
  <c r="J15" i="2"/>
  <c r="K15" i="2"/>
  <c r="C4" i="2"/>
  <c r="I10" i="2"/>
  <c r="L15" i="2"/>
  <c r="B16" i="2"/>
  <c r="E14" i="1"/>
  <c r="F14" i="1" s="1"/>
  <c r="D5" i="2"/>
  <c r="E5" i="2" s="1"/>
  <c r="D7" i="2"/>
  <c r="E7" i="2" s="1"/>
  <c r="D13" i="2"/>
  <c r="E13" i="2" s="1"/>
  <c r="G15" i="1"/>
  <c r="N11" i="2"/>
  <c r="H14" i="1"/>
  <c r="I14" i="1" s="1"/>
  <c r="E7" i="1"/>
  <c r="F7" i="1" s="1"/>
  <c r="H10" i="1"/>
  <c r="I10" i="1" s="1"/>
  <c r="D5" i="1"/>
  <c r="G5" i="1" s="1"/>
  <c r="H6" i="1"/>
  <c r="I6" i="1" s="1"/>
  <c r="D8" i="1"/>
  <c r="G8" i="1" s="1"/>
  <c r="H9" i="1"/>
  <c r="I9" i="1" s="1"/>
  <c r="D11" i="1"/>
  <c r="G11" i="1" s="1"/>
  <c r="H12" i="1"/>
  <c r="I12" i="1" s="1"/>
  <c r="D19" i="1"/>
  <c r="H8" i="1"/>
  <c r="I8" i="1" s="1"/>
  <c r="H11" i="1"/>
  <c r="I11" i="1" s="1"/>
  <c r="E4" i="1"/>
  <c r="E10" i="1"/>
  <c r="F10" i="1" s="1"/>
  <c r="E13" i="1"/>
  <c r="F13" i="1" s="1"/>
  <c r="G19" i="1"/>
  <c r="F20" i="1" s="1"/>
  <c r="D20" i="1"/>
  <c r="G20" i="1"/>
  <c r="E6" i="1"/>
  <c r="F6" i="1" s="1"/>
  <c r="E9" i="1"/>
  <c r="F9" i="1" s="1"/>
  <c r="E12" i="1"/>
  <c r="F12" i="1" s="1"/>
  <c r="H5" i="1"/>
  <c r="I5" i="1" s="1"/>
  <c r="H4" i="1"/>
  <c r="H7" i="1"/>
  <c r="I7" i="1" s="1"/>
  <c r="H13" i="1"/>
  <c r="I13" i="1" s="1"/>
  <c r="L19" i="1" l="1" a="1"/>
  <c r="I19" i="1" a="1"/>
  <c r="K11" i="2"/>
  <c r="L11" i="2" s="1"/>
  <c r="D4" i="2"/>
  <c r="E4" i="2" s="1"/>
  <c r="E15" i="2" s="1"/>
  <c r="J6" i="2" s="1"/>
  <c r="K6" i="2" s="1"/>
  <c r="J5" i="2"/>
  <c r="K5" i="2" s="1"/>
  <c r="M19" i="1"/>
  <c r="M20" i="1"/>
  <c r="L20" i="1"/>
  <c r="L19" i="1"/>
  <c r="F4" i="1"/>
  <c r="H15" i="1"/>
  <c r="I4" i="1"/>
  <c r="I15" i="1" s="1"/>
  <c r="E11" i="1"/>
  <c r="F11" i="1" s="1"/>
  <c r="K10" i="2"/>
  <c r="L10" i="2" s="1"/>
  <c r="N10" i="2"/>
  <c r="M10" i="2"/>
  <c r="E8" i="1"/>
  <c r="F8" i="1" s="1"/>
  <c r="E5" i="1"/>
  <c r="F5" i="1" s="1"/>
  <c r="J20" i="1"/>
  <c r="J19" i="1"/>
  <c r="I20" i="1"/>
  <c r="I19" i="1"/>
  <c r="B22" i="1" s="1" a="1"/>
  <c r="L5" i="2" l="1"/>
  <c r="M5" i="2" s="1"/>
  <c r="B23" i="1"/>
  <c r="F22" i="1" s="1"/>
  <c r="B22" i="1"/>
  <c r="F15" i="1"/>
  <c r="E15" i="1"/>
  <c r="D23" i="1" l="1"/>
  <c r="G22" i="1"/>
  <c r="F23" i="1" s="1"/>
  <c r="D22" i="1"/>
  <c r="G23" i="1"/>
  <c r="L22" i="1" l="1" a="1"/>
  <c r="M23" i="1"/>
  <c r="L23" i="1"/>
  <c r="M22" i="1"/>
  <c r="L22" i="1"/>
  <c r="I22" i="1" a="1"/>
  <c r="I22" i="1" l="1"/>
  <c r="J23" i="1"/>
  <c r="I23" i="1"/>
  <c r="J22" i="1"/>
  <c r="B25" i="1" l="1" a="1"/>
  <c r="B26" i="1"/>
  <c r="F25" i="1" s="1"/>
  <c r="B25" i="1"/>
  <c r="D26" i="1" l="1"/>
  <c r="G25" i="1"/>
  <c r="F26" i="1" s="1"/>
  <c r="D25" i="1"/>
  <c r="G26" i="1"/>
  <c r="I25" i="1" l="1" a="1"/>
  <c r="J26" i="1"/>
  <c r="I26" i="1"/>
  <c r="J25" i="1"/>
  <c r="I25" i="1"/>
  <c r="L25" i="1" a="1"/>
  <c r="B28" i="1" l="1" a="1"/>
  <c r="B29" i="1" s="1"/>
  <c r="F28" i="1" s="1"/>
  <c r="M26" i="1"/>
  <c r="L26" i="1"/>
  <c r="M25" i="1"/>
  <c r="L25" i="1"/>
  <c r="B28" i="1" l="1"/>
  <c r="D28" i="1"/>
  <c r="G29" i="1"/>
  <c r="G28" i="1"/>
  <c r="F29" i="1" s="1"/>
  <c r="L28" i="1" s="1" a="1"/>
  <c r="D29" i="1"/>
  <c r="I28" i="1" a="1"/>
  <c r="M29" i="1" l="1"/>
  <c r="L29" i="1"/>
  <c r="M28" i="1"/>
  <c r="L28" i="1"/>
  <c r="J29" i="1"/>
  <c r="I29" i="1"/>
  <c r="J28" i="1"/>
  <c r="I28" i="1"/>
  <c r="B31" i="1" s="1" a="1"/>
  <c r="B32" i="1" l="1"/>
  <c r="B31" i="1"/>
  <c r="K13" i="1" l="1"/>
  <c r="L13" i="1" s="1"/>
  <c r="K7" i="1"/>
  <c r="L7" i="1" s="1"/>
  <c r="K4" i="1"/>
  <c r="G32" i="1"/>
  <c r="K14" i="1"/>
  <c r="L14" i="1" s="1"/>
  <c r="K11" i="1"/>
  <c r="L11" i="1" s="1"/>
  <c r="K8" i="1"/>
  <c r="L8" i="1" s="1"/>
  <c r="K5" i="1"/>
  <c r="L5" i="1" s="1"/>
  <c r="G31" i="1"/>
  <c r="F32" i="1" s="1"/>
  <c r="D32" i="1"/>
  <c r="D31" i="1"/>
  <c r="P25" i="1"/>
  <c r="K12" i="1"/>
  <c r="L12" i="1" s="1"/>
  <c r="K9" i="1"/>
  <c r="L9" i="1" s="1"/>
  <c r="K6" i="1"/>
  <c r="L6" i="1" s="1"/>
  <c r="Q21" i="1"/>
  <c r="R21" i="1" s="1"/>
  <c r="K10" i="1"/>
  <c r="L10" i="1" s="1"/>
  <c r="F31" i="1"/>
  <c r="P26" i="1"/>
  <c r="L31" i="1" l="1" a="1"/>
  <c r="I31" i="1" a="1"/>
  <c r="Q20" i="1"/>
  <c r="R20" i="1" s="1"/>
  <c r="S20" i="1" s="1"/>
  <c r="T20" i="1" s="1"/>
  <c r="L4" i="1"/>
  <c r="L15" i="1" s="1"/>
  <c r="L31" i="1" l="1"/>
  <c r="Q25" i="1" s="1"/>
  <c r="M32" i="1"/>
  <c r="Q26" i="1" s="1"/>
  <c r="L32" i="1"/>
  <c r="M31" i="1"/>
  <c r="J31" i="1"/>
  <c r="I31" i="1"/>
  <c r="J32" i="1"/>
  <c r="I32" i="1"/>
  <c r="U26" i="1" l="1"/>
  <c r="T26" i="1"/>
  <c r="R26" i="1"/>
  <c r="S26" i="1" s="1"/>
  <c r="U25" i="1"/>
  <c r="T25" i="1"/>
  <c r="R25" i="1"/>
  <c r="S25" i="1" s="1"/>
</calcChain>
</file>

<file path=xl/sharedStrings.xml><?xml version="1.0" encoding="utf-8"?>
<sst xmlns="http://schemas.openxmlformats.org/spreadsheetml/2006/main" count="78" uniqueCount="46">
  <si>
    <t>Exponential Regression</t>
  </si>
  <si>
    <t>x</t>
  </si>
  <si>
    <t>y</t>
  </si>
  <si>
    <t>Exp(bx)</t>
  </si>
  <si>
    <t>F1</t>
  </si>
  <si>
    <t>F2</t>
  </si>
  <si>
    <t>J11</t>
  </si>
  <si>
    <t>J12</t>
  </si>
  <si>
    <t>J22</t>
  </si>
  <si>
    <t>pred-y</t>
  </si>
  <si>
    <t>resid-sq</t>
  </si>
  <si>
    <t>B</t>
  </si>
  <si>
    <t>F</t>
  </si>
  <si>
    <t>J</t>
  </si>
  <si>
    <r>
      <t>J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</si>
  <si>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(J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J)</t>
    </r>
    <r>
      <rPr>
        <vertAlign val="superscript"/>
        <sz val="11"/>
        <color theme="1"/>
        <rFont val="Calibri"/>
        <family val="2"/>
        <scheme val="minor"/>
      </rPr>
      <t>-1</t>
    </r>
  </si>
  <si>
    <t>ANOVA</t>
  </si>
  <si>
    <t>a</t>
  </si>
  <si>
    <t>df</t>
  </si>
  <si>
    <t>SS</t>
  </si>
  <si>
    <t>MS</t>
  </si>
  <si>
    <t>Significance F</t>
  </si>
  <si>
    <t>b</t>
  </si>
  <si>
    <t>Regression</t>
  </si>
  <si>
    <t>Residual</t>
  </si>
  <si>
    <t>Total</t>
  </si>
  <si>
    <t>Coefficients</t>
  </si>
  <si>
    <t>Standard Error</t>
  </si>
  <si>
    <t>t Stat</t>
  </si>
  <si>
    <t>P-value</t>
  </si>
  <si>
    <t>Lower 95%</t>
  </si>
  <si>
    <t>Upper 95%</t>
  </si>
  <si>
    <t>Intercept</t>
  </si>
  <si>
    <t>pred y</t>
  </si>
  <si>
    <t>residual</t>
  </si>
  <si>
    <t>Sig F</t>
  </si>
  <si>
    <t>Coeff</t>
  </si>
  <si>
    <t>Std Error</t>
  </si>
  <si>
    <t>alpha</t>
  </si>
  <si>
    <t>α</t>
  </si>
  <si>
    <t>beta</t>
  </si>
  <si>
    <t>β</t>
  </si>
  <si>
    <t>Real Statistics Using Excel</t>
  </si>
  <si>
    <t>Updated</t>
  </si>
  <si>
    <t>Copyright © 2013 - 2026 Charles Zaiontz</t>
  </si>
  <si>
    <t>Exponential Regression using Newton’s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</si>
</sst>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0" xfId="0" applyAlignment="1">
      <alignment horizontal="right"/>
    </xf>
    <xf numFmtId="0" fontId="4" fillId="0" borderId="0" xfId="0" applyFont="1"/>
    <xf numFmtId="15" fontId="0" fillId="0" borderId="0" xfId="0" applyNumberForma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457200</xdr:colOff>
      <xdr:row>7</xdr:row>
      <xdr:rowOff>157162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DBC929-5713-4C31-A910-7CDCFDBB0217}"/>
            </a:ext>
          </a:extLst>
        </xdr:cNvPr>
        <xdr:cNvSpPr txBox="1"/>
      </xdr:nvSpPr>
      <xdr:spPr>
        <a:xfrm>
          <a:off x="10528300" y="1446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457200</xdr:colOff>
      <xdr:row>7</xdr:row>
      <xdr:rowOff>157162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A46D83-D2FE-4C37-8798-6661BD670E0B}"/>
            </a:ext>
          </a:extLst>
        </xdr:cNvPr>
        <xdr:cNvSpPr txBox="1"/>
      </xdr:nvSpPr>
      <xdr:spPr>
        <a:xfrm>
          <a:off x="6305550" y="1458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9</xdr:col>
      <xdr:colOff>457200</xdr:colOff>
      <xdr:row>12</xdr:row>
      <xdr:rowOff>157162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43B5348-B612-4B61-92BA-7DA0AA04EC92}"/>
            </a:ext>
          </a:extLst>
        </xdr:cNvPr>
        <xdr:cNvSpPr txBox="1"/>
      </xdr:nvSpPr>
      <xdr:spPr>
        <a:xfrm>
          <a:off x="6305550" y="2392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9</xdr:col>
      <xdr:colOff>457200</xdr:colOff>
      <xdr:row>13</xdr:row>
      <xdr:rowOff>157162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49F9EA9-A3A5-47A5-9A95-09C816D9F0D6}"/>
            </a:ext>
          </a:extLst>
        </xdr:cNvPr>
        <xdr:cNvSpPr txBox="1"/>
      </xdr:nvSpPr>
      <xdr:spPr>
        <a:xfrm>
          <a:off x="6305550" y="2576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9</xdr:col>
      <xdr:colOff>457200</xdr:colOff>
      <xdr:row>14</xdr:row>
      <xdr:rowOff>157162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632B0F8-8989-4C3C-A048-9D7F89EA4756}"/>
            </a:ext>
          </a:extLst>
        </xdr:cNvPr>
        <xdr:cNvSpPr txBox="1"/>
      </xdr:nvSpPr>
      <xdr:spPr>
        <a:xfrm>
          <a:off x="6305550" y="276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9</xdr:col>
      <xdr:colOff>457200</xdr:colOff>
      <xdr:row>15</xdr:row>
      <xdr:rowOff>157162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C24E4E8-450A-4EDF-A323-12E6EEE498CC}"/>
            </a:ext>
          </a:extLst>
        </xdr:cNvPr>
        <xdr:cNvSpPr txBox="1"/>
      </xdr:nvSpPr>
      <xdr:spPr>
        <a:xfrm>
          <a:off x="6305550" y="2944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9</xdr:col>
      <xdr:colOff>457200</xdr:colOff>
      <xdr:row>12</xdr:row>
      <xdr:rowOff>157162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7CAF6DB-45CF-4906-A8B0-6DA9906C7AC8}"/>
            </a:ext>
          </a:extLst>
        </xdr:cNvPr>
        <xdr:cNvSpPr txBox="1"/>
      </xdr:nvSpPr>
      <xdr:spPr>
        <a:xfrm>
          <a:off x="6305550" y="2392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91D5-97DA-4820-AA74-6846FF1FC2F1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42</v>
      </c>
    </row>
    <row r="2" spans="1:13" x14ac:dyDescent="0.35">
      <c r="A2" t="s">
        <v>45</v>
      </c>
    </row>
    <row r="4" spans="1:13" x14ac:dyDescent="0.35">
      <c r="A4" t="s">
        <v>43</v>
      </c>
      <c r="B4" s="19">
        <v>46030</v>
      </c>
    </row>
    <row r="6" spans="1:13" x14ac:dyDescent="0.35">
      <c r="A6" s="20" t="s">
        <v>44</v>
      </c>
    </row>
    <row r="10" spans="1:13" ht="18.5" x14ac:dyDescent="0.45">
      <c r="M1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A2ABB-536D-46A9-8997-8585E31D0EA6}">
  <sheetPr codeName="Sheet426"/>
  <dimension ref="A1:U32"/>
  <sheetViews>
    <sheetView zoomScale="101" zoomScaleNormal="100" workbookViewId="0"/>
  </sheetViews>
  <sheetFormatPr defaultRowHeight="14.5" x14ac:dyDescent="0.35"/>
  <cols>
    <col min="2" max="2" width="9.26953125" bestFit="1" customWidth="1"/>
    <col min="4" max="4" width="12.26953125" bestFit="1" customWidth="1"/>
    <col min="5" max="5" width="9.26953125" bestFit="1" customWidth="1"/>
    <col min="6" max="6" width="9.81640625" bestFit="1" customWidth="1"/>
    <col min="7" max="7" width="9.1796875" customWidth="1"/>
    <col min="8" max="8" width="9.26953125" bestFit="1" customWidth="1"/>
    <col min="9" max="10" width="9.1796875" customWidth="1"/>
    <col min="12" max="13" width="9.1796875" customWidth="1"/>
    <col min="15" max="15" width="13.453125" customWidth="1"/>
    <col min="16" max="17" width="13.54296875" customWidth="1"/>
    <col min="18" max="19" width="10.54296875" customWidth="1"/>
    <col min="20" max="21" width="13.7265625" customWidth="1"/>
  </cols>
  <sheetData>
    <row r="1" spans="1:13" x14ac:dyDescent="0.35">
      <c r="A1" s="1" t="s">
        <v>0</v>
      </c>
      <c r="M1" s="1"/>
    </row>
    <row r="2" spans="1:13" x14ac:dyDescent="0.35">
      <c r="M2" s="1"/>
    </row>
    <row r="3" spans="1:13" x14ac:dyDescent="0.35">
      <c r="A3" s="2" t="s">
        <v>1</v>
      </c>
      <c r="B3" s="2" t="s">
        <v>2</v>
      </c>
      <c r="C3" s="2"/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K3" s="2" t="s">
        <v>9</v>
      </c>
      <c r="L3" s="2" t="s">
        <v>10</v>
      </c>
      <c r="M3" s="1"/>
    </row>
    <row r="4" spans="1:13" x14ac:dyDescent="0.35">
      <c r="A4" s="3">
        <v>45</v>
      </c>
      <c r="B4" s="3">
        <v>33</v>
      </c>
      <c r="C4" s="3"/>
      <c r="D4">
        <f>EXP($B$20*A4)</f>
        <v>2.0628614082889096</v>
      </c>
      <c r="E4">
        <f>(B4-$B$19*D4)*D4</f>
        <v>8.2803441459270459</v>
      </c>
      <c r="F4">
        <f>E4*A4*$B$19</f>
        <v>5235.7512322647435</v>
      </c>
      <c r="G4">
        <f>-(D4^2)</f>
        <v>-4.2553971898077032</v>
      </c>
      <c r="H4">
        <f t="shared" ref="H4:H14" si="0">(B4-2*$B$19*D4)*D4*A4</f>
        <v>-2318.1182181755967</v>
      </c>
      <c r="I4">
        <f>H4*$B$19*A4</f>
        <v>-1465771.2413219262</v>
      </c>
      <c r="K4">
        <f>$B$31*EXP($B$32*A4)</f>
        <v>28.831680595438126</v>
      </c>
      <c r="L4">
        <f>(B4-K4)^2</f>
        <v>17.374886658447057</v>
      </c>
      <c r="M4" s="1"/>
    </row>
    <row r="5" spans="1:13" x14ac:dyDescent="0.35">
      <c r="A5" s="3">
        <v>99</v>
      </c>
      <c r="B5" s="3">
        <v>72</v>
      </c>
      <c r="C5" s="3"/>
      <c r="D5">
        <f t="shared" ref="D5:D14" si="1">EXP($B$20*A5)</f>
        <v>4.9185162740223456</v>
      </c>
      <c r="E5">
        <f t="shared" ref="E5:E14" si="2">(B5-$B$19*D5)*D5</f>
        <v>14.205650015395019</v>
      </c>
      <c r="F5">
        <f t="shared" ref="F5:F14" si="3">E5*A5*$B$19</f>
        <v>19761.249795587806</v>
      </c>
      <c r="G5">
        <f t="shared" ref="G5:G14" si="4">-(D5^2)</f>
        <v>-24.191802337822658</v>
      </c>
      <c r="H5">
        <f t="shared" si="0"/>
        <v>-32246.465298183066</v>
      </c>
      <c r="I5">
        <f t="shared" ref="I5:I14" si="5">H5*$B$19*A5</f>
        <v>-44857535.916453429</v>
      </c>
      <c r="K5">
        <f t="shared" ref="K5:K14" si="6">$B$31*EXP($B$32*A5)</f>
        <v>71.635797078864869</v>
      </c>
      <c r="L5">
        <f t="shared" ref="L5:L14" si="7">(B5-K5)^2</f>
        <v>0.13264376776336276</v>
      </c>
      <c r="M5" s="1"/>
    </row>
    <row r="6" spans="1:13" x14ac:dyDescent="0.35">
      <c r="A6" s="3">
        <v>31</v>
      </c>
      <c r="B6" s="3">
        <v>19</v>
      </c>
      <c r="C6" s="3"/>
      <c r="D6">
        <f t="shared" si="1"/>
        <v>1.6467774984667787</v>
      </c>
      <c r="E6">
        <f t="shared" si="2"/>
        <v>-6.8167526574028976</v>
      </c>
      <c r="F6">
        <f t="shared" si="3"/>
        <v>-2969.3222498662099</v>
      </c>
      <c r="G6">
        <f t="shared" si="4"/>
        <v>-2.7118761294565012</v>
      </c>
      <c r="H6">
        <f t="shared" si="0"/>
        <v>-1392.5906113559122</v>
      </c>
      <c r="I6">
        <f t="shared" si="5"/>
        <v>-606601.19195659691</v>
      </c>
      <c r="K6">
        <f t="shared" si="6"/>
        <v>22.771681829358332</v>
      </c>
      <c r="L6">
        <f t="shared" si="7"/>
        <v>14.225583821911815</v>
      </c>
      <c r="M6" s="1"/>
    </row>
    <row r="7" spans="1:13" x14ac:dyDescent="0.35">
      <c r="A7" s="3">
        <v>57</v>
      </c>
      <c r="B7" s="3">
        <v>27</v>
      </c>
      <c r="C7" s="3"/>
      <c r="D7">
        <f t="shared" si="1"/>
        <v>2.5022386704805637</v>
      </c>
      <c r="E7">
        <f t="shared" si="2"/>
        <v>-20.417855865376826</v>
      </c>
      <c r="F7">
        <f t="shared" si="3"/>
        <v>-16353.212944969608</v>
      </c>
      <c r="G7">
        <f t="shared" si="4"/>
        <v>-6.2611983640483393</v>
      </c>
      <c r="H7">
        <f t="shared" si="0"/>
        <v>-6178.5808825225458</v>
      </c>
      <c r="I7">
        <f t="shared" si="5"/>
        <v>-4948592.522927219</v>
      </c>
      <c r="K7">
        <f t="shared" si="6"/>
        <v>35.294378976198381</v>
      </c>
      <c r="L7">
        <f t="shared" si="7"/>
        <v>68.796722600801701</v>
      </c>
      <c r="M7" s="1"/>
    </row>
    <row r="8" spans="1:13" x14ac:dyDescent="0.35">
      <c r="A8" s="3">
        <v>37</v>
      </c>
      <c r="B8" s="3">
        <v>23</v>
      </c>
      <c r="C8" s="3"/>
      <c r="D8">
        <f t="shared" si="1"/>
        <v>1.8136950359189477</v>
      </c>
      <c r="E8">
        <f t="shared" si="2"/>
        <v>-4.506790465670405</v>
      </c>
      <c r="F8">
        <f t="shared" si="3"/>
        <v>-2343.0804130273605</v>
      </c>
      <c r="G8">
        <f t="shared" si="4"/>
        <v>-3.2894896833170328</v>
      </c>
      <c r="H8">
        <f t="shared" si="0"/>
        <v>-1876.9569700266345</v>
      </c>
      <c r="I8">
        <f t="shared" si="5"/>
        <v>-975829.94950939855</v>
      </c>
      <c r="K8">
        <f t="shared" si="6"/>
        <v>25.194915167512317</v>
      </c>
      <c r="L8">
        <f t="shared" si="7"/>
        <v>4.8176525925756222</v>
      </c>
      <c r="M8" s="1"/>
    </row>
    <row r="9" spans="1:13" x14ac:dyDescent="0.35">
      <c r="A9" s="3">
        <v>85</v>
      </c>
      <c r="B9" s="3">
        <v>62</v>
      </c>
      <c r="C9" s="3"/>
      <c r="D9">
        <f t="shared" si="1"/>
        <v>3.9264401832118971</v>
      </c>
      <c r="E9">
        <f t="shared" si="2"/>
        <v>26.810551252332257</v>
      </c>
      <c r="F9">
        <f t="shared" si="3"/>
        <v>32021.581105745983</v>
      </c>
      <c r="G9">
        <f t="shared" si="4"/>
        <v>-15.416932512341077</v>
      </c>
      <c r="H9">
        <f t="shared" si="0"/>
        <v>-16134.546052630214</v>
      </c>
      <c r="I9">
        <f t="shared" si="5"/>
        <v>-19270535.326413635</v>
      </c>
      <c r="K9">
        <f t="shared" si="6"/>
        <v>56.578997303767778</v>
      </c>
      <c r="L9">
        <f t="shared" si="7"/>
        <v>29.387270232557018</v>
      </c>
      <c r="M9" s="1"/>
    </row>
    <row r="10" spans="1:13" x14ac:dyDescent="0.35">
      <c r="A10" s="3">
        <v>21</v>
      </c>
      <c r="B10" s="3">
        <v>24</v>
      </c>
      <c r="C10" s="3"/>
      <c r="D10">
        <f t="shared" si="1"/>
        <v>1.4020150982917519</v>
      </c>
      <c r="E10">
        <f t="shared" si="2"/>
        <v>6.0283744731310618</v>
      </c>
      <c r="F10">
        <f t="shared" si="3"/>
        <v>1778.8430016919215</v>
      </c>
      <c r="G10">
        <f t="shared" si="4"/>
        <v>-1.9656463358380307</v>
      </c>
      <c r="H10">
        <f t="shared" si="0"/>
        <v>-453.42388166753835</v>
      </c>
      <c r="I10">
        <f t="shared" si="5"/>
        <v>-133795.58657134388</v>
      </c>
      <c r="K10">
        <f t="shared" si="6"/>
        <v>19.239721667677177</v>
      </c>
      <c r="L10">
        <f t="shared" si="7"/>
        <v>22.660249801182157</v>
      </c>
      <c r="M10" s="1"/>
    </row>
    <row r="11" spans="1:13" x14ac:dyDescent="0.35">
      <c r="A11" s="3">
        <v>64</v>
      </c>
      <c r="B11" s="3">
        <v>32</v>
      </c>
      <c r="C11" s="3"/>
      <c r="D11">
        <f t="shared" si="1"/>
        <v>2.8005691151229146</v>
      </c>
      <c r="E11">
        <f t="shared" si="2"/>
        <v>-20.589172094719999</v>
      </c>
      <c r="F11">
        <f t="shared" si="3"/>
        <v>-18515.56462724779</v>
      </c>
      <c r="G11">
        <f t="shared" si="4"/>
        <v>-7.8431873685803453</v>
      </c>
      <c r="H11">
        <f t="shared" si="0"/>
        <v>-8370.9795758958899</v>
      </c>
      <c r="I11">
        <f t="shared" si="5"/>
        <v>-7527908.9716588948</v>
      </c>
      <c r="K11">
        <f t="shared" si="6"/>
        <v>39.71393952444263</v>
      </c>
      <c r="L11">
        <f t="shared" si="7"/>
        <v>59.504862986758184</v>
      </c>
      <c r="M11" s="1"/>
    </row>
    <row r="12" spans="1:13" x14ac:dyDescent="0.35">
      <c r="A12" s="3">
        <v>17</v>
      </c>
      <c r="B12" s="3">
        <v>18</v>
      </c>
      <c r="C12" s="3"/>
      <c r="D12">
        <f t="shared" si="1"/>
        <v>1.3146186741192336</v>
      </c>
      <c r="E12">
        <f t="shared" si="2"/>
        <v>-0.62072254848703323</v>
      </c>
      <c r="F12">
        <f t="shared" si="3"/>
        <v>-148.27384370781121</v>
      </c>
      <c r="G12">
        <f t="shared" si="4"/>
        <v>-1.7282222583430118</v>
      </c>
      <c r="H12">
        <f t="shared" si="0"/>
        <v>-423.37788092904464</v>
      </c>
      <c r="I12">
        <f t="shared" si="5"/>
        <v>-101133.53526342672</v>
      </c>
      <c r="K12">
        <f t="shared" si="6"/>
        <v>17.985406421975124</v>
      </c>
      <c r="L12">
        <f t="shared" si="7"/>
        <v>2.1297251956813195E-4</v>
      </c>
      <c r="M12" s="1"/>
    </row>
    <row r="13" spans="1:13" x14ac:dyDescent="0.35">
      <c r="A13" s="3">
        <v>41</v>
      </c>
      <c r="B13" s="3">
        <v>36</v>
      </c>
      <c r="C13" s="3"/>
      <c r="D13">
        <f t="shared" si="1"/>
        <v>1.9342702748071079</v>
      </c>
      <c r="E13">
        <f t="shared" si="2"/>
        <v>17.061981806079626</v>
      </c>
      <c r="F13">
        <f t="shared" si="3"/>
        <v>9829.5001548537784</v>
      </c>
      <c r="G13">
        <f t="shared" si="4"/>
        <v>-3.7414014960023647</v>
      </c>
      <c r="H13">
        <f t="shared" si="0"/>
        <v>-1455.900417516762</v>
      </c>
      <c r="I13">
        <f t="shared" si="5"/>
        <v>-838752.11813515075</v>
      </c>
      <c r="K13">
        <f t="shared" si="6"/>
        <v>26.952026764955445</v>
      </c>
      <c r="L13">
        <f t="shared" si="7"/>
        <v>81.865819662082629</v>
      </c>
      <c r="M13" s="1"/>
    </row>
    <row r="14" spans="1:13" x14ac:dyDescent="0.35">
      <c r="A14" s="4">
        <v>103</v>
      </c>
      <c r="B14" s="4">
        <v>76</v>
      </c>
      <c r="C14" s="4"/>
      <c r="D14" s="5">
        <f t="shared" si="1"/>
        <v>5.2455013861666631</v>
      </c>
      <c r="E14" s="5">
        <f t="shared" si="2"/>
        <v>12.031162961821153</v>
      </c>
      <c r="F14" s="5">
        <f t="shared" si="3"/>
        <v>17412.572459036503</v>
      </c>
      <c r="G14" s="5">
        <f t="shared" si="4"/>
        <v>-27.515284792276383</v>
      </c>
      <c r="H14" s="5">
        <f t="shared" si="0"/>
        <v>-38583.365280777478</v>
      </c>
      <c r="I14" s="5">
        <f t="shared" si="5"/>
        <v>-55841288.643248126</v>
      </c>
      <c r="K14" s="5">
        <f t="shared" si="6"/>
        <v>76.631729353392316</v>
      </c>
      <c r="L14" s="5">
        <f t="shared" si="7"/>
        <v>0.39908197593747402</v>
      </c>
      <c r="M14" s="1"/>
    </row>
    <row r="15" spans="1:13" x14ac:dyDescent="0.35">
      <c r="E15">
        <f>SUM(E4:E14)</f>
        <v>31.466771023029001</v>
      </c>
      <c r="F15">
        <f>SUM(F4:F14)</f>
        <v>45710.043670361963</v>
      </c>
      <c r="G15">
        <f>SUM(G4:G14)</f>
        <v>-98.920438467833435</v>
      </c>
      <c r="H15">
        <f>SUM(H4:H14)</f>
        <v>-109434.30506968067</v>
      </c>
      <c r="I15">
        <f>SUM(I4:I14)</f>
        <v>-136567745.00345916</v>
      </c>
      <c r="L15">
        <f>SUM(L4:L14)</f>
        <v>299.16498707253658</v>
      </c>
      <c r="M15" s="1"/>
    </row>
    <row r="18" spans="1:21" ht="15" customHeight="1" thickBot="1" x14ac:dyDescent="0.4">
      <c r="B18" s="3" t="s">
        <v>11</v>
      </c>
      <c r="D18" s="3" t="s">
        <v>12</v>
      </c>
      <c r="F18" s="6" t="s">
        <v>13</v>
      </c>
      <c r="G18" s="6"/>
      <c r="I18" s="6" t="s">
        <v>14</v>
      </c>
      <c r="J18" s="6"/>
      <c r="L18" s="6" t="s">
        <v>15</v>
      </c>
      <c r="M18" s="6"/>
      <c r="O18" t="s">
        <v>16</v>
      </c>
    </row>
    <row r="19" spans="1:21" x14ac:dyDescent="0.35">
      <c r="A19" t="s">
        <v>17</v>
      </c>
      <c r="B19" s="7">
        <v>14.051351650751313</v>
      </c>
      <c r="D19" s="7">
        <f>SUMPRODUCT(SUMPRODUCT($B$4:$B$14-B19*EXP(B20*$A$4:$A$14),EXP(B20*$A$4:$A$14)))</f>
        <v>31.466771023029001</v>
      </c>
      <c r="F19" s="8">
        <f>-SUMPRODUCT(EXP(2*B20*$A$4:$A$14))</f>
        <v>-98.920438467833435</v>
      </c>
      <c r="G19" s="9">
        <f>SUMPRODUCT(SUMPRODUCT($B$4:$B$14-2*B19*EXP(B20*$A$4:$A$14),EXP(B20*$A$4:$A$14),$A$4:$A$14))</f>
        <v>-109434.30506968067</v>
      </c>
      <c r="I19" s="8">
        <f t="array" ref="I19:J20">MINVERSE(F19:G20)</f>
        <v>-8.9057745334146413E-2</v>
      </c>
      <c r="J19" s="9">
        <v>7.1363647920437233E-5</v>
      </c>
      <c r="L19" s="8">
        <f t="array" ref="L19:M20">MINVERSE(MMULT(TRANSPOSE(F19:G20),F19:G20))</f>
        <v>7.9312870135182113E-3</v>
      </c>
      <c r="M19" s="9">
        <v>-6.3554901193851508E-6</v>
      </c>
      <c r="O19" s="12"/>
      <c r="P19" s="12" t="s">
        <v>18</v>
      </c>
      <c r="Q19" s="12" t="s">
        <v>19</v>
      </c>
      <c r="R19" s="12" t="s">
        <v>20</v>
      </c>
      <c r="S19" s="12" t="s">
        <v>12</v>
      </c>
      <c r="T19" s="12" t="s">
        <v>21</v>
      </c>
    </row>
    <row r="20" spans="1:21" x14ac:dyDescent="0.35">
      <c r="A20" t="s">
        <v>22</v>
      </c>
      <c r="B20" s="13">
        <v>1.6090978936384667E-2</v>
      </c>
      <c r="D20" s="13">
        <f>B19*SUMPRODUCT(SUMPRODUCT($B$4:$B$14-B19*EXP(B20*$A$4:$A$14),EXP(B20*$A$4:$A$14),$A$4:$A$14))</f>
        <v>45710.043670361949</v>
      </c>
      <c r="F20" s="10">
        <f>G19</f>
        <v>-109434.30506968067</v>
      </c>
      <c r="G20" s="11">
        <f>B19*SUMPRODUCT(SUMPRODUCT($B$4:$B$14-2*B19*EXP(B20*$A$4:$A$14),EXP(B20*$A$4:$A$14),$A$4:$A$14^2))</f>
        <v>-136567745.00345916</v>
      </c>
      <c r="I20" s="10">
        <v>7.136364792043722E-5</v>
      </c>
      <c r="J20" s="11">
        <v>-6.4507407786423284E-8</v>
      </c>
      <c r="L20" s="10">
        <v>-6.3554901193851508E-6</v>
      </c>
      <c r="M20" s="11">
        <v>5.0927743522595784E-9</v>
      </c>
      <c r="O20" t="s">
        <v>23</v>
      </c>
      <c r="P20">
        <v>1</v>
      </c>
      <c r="Q20">
        <f>DEVSQ(K4:K14)</f>
        <v>4333.0059138129564</v>
      </c>
      <c r="R20">
        <f>Q20/P20</f>
        <v>4333.0059138129564</v>
      </c>
      <c r="S20">
        <f>R20/R21</f>
        <v>130.35299887837891</v>
      </c>
      <c r="T20">
        <f>FDIST(S20,P20,P21)</f>
        <v>1.1753122335270968E-6</v>
      </c>
    </row>
    <row r="21" spans="1:21" x14ac:dyDescent="0.35">
      <c r="O21" t="s">
        <v>24</v>
      </c>
      <c r="P21">
        <v>9</v>
      </c>
      <c r="Q21">
        <f>SUMPRODUCT((B4:B14-B31*EXP(B32*A4:A14))^2)</f>
        <v>299.16498707253658</v>
      </c>
      <c r="R21">
        <f>Q21/P21</f>
        <v>33.240554119170731</v>
      </c>
    </row>
    <row r="22" spans="1:21" ht="15" thickBot="1" x14ac:dyDescent="0.4">
      <c r="A22" t="s">
        <v>17</v>
      </c>
      <c r="B22" s="7">
        <f t="array" ref="B22:B23">B19:B20-MMULT(I19:J20,D19:D20)</f>
        <v>13.591675868088608</v>
      </c>
      <c r="D22" s="7">
        <f>SUMPRODUCT(SUMPRODUCT($B$4:$B$14-B22*EXP(B23*$A$4:$A$14),EXP(B23*$A$4:$A$14)))</f>
        <v>-2.2474664483722337</v>
      </c>
      <c r="F22" s="8">
        <f>-SUMPRODUCT(EXP(2*B23*$A$4:$A$14))</f>
        <v>-110.93721400042701</v>
      </c>
      <c r="G22" s="9">
        <f>SUMPRODUCT(SUMPRODUCT($B$4:$B$14-2*B22*EXP(B23*$A$4:$A$14),EXP(B23*$A$4:$A$14),$A$4:$A$14))</f>
        <v>-123761.05340297079</v>
      </c>
      <c r="I22" s="8">
        <f t="array" ref="I22:J23">MINVERSE(F22:G23)</f>
        <v>-0.1065929301789774</v>
      </c>
      <c r="J22" s="9">
        <v>8.7467926367358631E-5</v>
      </c>
      <c r="L22" s="8">
        <f t="array" ref="L22:M23">MINVERSE(MMULT(TRANSPOSE(F22:G23),F22:G23))</f>
        <v>1.1362059961978449E-2</v>
      </c>
      <c r="M22" s="9">
        <v>-9.3234690545139224E-6</v>
      </c>
      <c r="O22" s="14" t="s">
        <v>25</v>
      </c>
      <c r="P22" s="14">
        <f>COUNT(A4:A14)-1</f>
        <v>10</v>
      </c>
      <c r="Q22" s="14">
        <f>DEVSQ(B4:B14)</f>
        <v>4542.545454545454</v>
      </c>
      <c r="R22" s="14"/>
      <c r="S22" s="14"/>
      <c r="T22" s="14"/>
    </row>
    <row r="23" spans="1:21" ht="15" thickBot="1" x14ac:dyDescent="0.4">
      <c r="A23" t="s">
        <v>22</v>
      </c>
      <c r="B23" s="13">
        <v>1.6794031794883462E-2</v>
      </c>
      <c r="D23" s="13">
        <f>B22*SUMPRODUCT(SUMPRODUCT($B$4:$B$14-B22*EXP(B23*$A$4:$A$14),EXP(B23*$A$4:$A$14),$A$4:$A$14))</f>
        <v>-1730.7024143965166</v>
      </c>
      <c r="F23" s="10">
        <f>G22</f>
        <v>-123761.05340297079</v>
      </c>
      <c r="G23" s="11">
        <f>B22*SUMPRODUCT(SUMPRODUCT($B$4:$B$14-2*B22*EXP(B23*$A$4:$A$14),EXP(B23*$A$4:$A$14),$A$4:$A$14^2))</f>
        <v>-150821608.2413334</v>
      </c>
      <c r="I23" s="10">
        <v>8.7467926367358631E-5</v>
      </c>
      <c r="J23" s="11">
        <v>-7.8404698398893328E-8</v>
      </c>
      <c r="L23" s="10">
        <v>-9.3234690545139224E-6</v>
      </c>
      <c r="M23" s="11">
        <v>7.6506439854094563E-9</v>
      </c>
    </row>
    <row r="24" spans="1:21" x14ac:dyDescent="0.35">
      <c r="O24" s="12"/>
      <c r="P24" s="12" t="s">
        <v>26</v>
      </c>
      <c r="Q24" s="12" t="s">
        <v>27</v>
      </c>
      <c r="R24" s="12" t="s">
        <v>28</v>
      </c>
      <c r="S24" s="12" t="s">
        <v>29</v>
      </c>
      <c r="T24" s="12" t="s">
        <v>30</v>
      </c>
      <c r="U24" s="12" t="s">
        <v>31</v>
      </c>
    </row>
    <row r="25" spans="1:21" x14ac:dyDescent="0.35">
      <c r="A25" t="s">
        <v>17</v>
      </c>
      <c r="B25" s="7">
        <f t="array" ref="B25:B26">B22:B23-MMULT(I22:J23,D22:D23)</f>
        <v>13.503492785223916</v>
      </c>
      <c r="D25" s="7">
        <f>SUMPRODUCT(SUMPRODUCT($B$4:$B$14-B25*EXP(B26*$A$4:$A$14),EXP(B26*$A$4:$A$14)))</f>
        <v>3.6187446445770988E-2</v>
      </c>
      <c r="F25" s="8">
        <f>-SUMPRODUCT(EXP(2*B26*$A$4:$A$14))</f>
        <v>-112.05097021702277</v>
      </c>
      <c r="G25" s="9">
        <f>SUMPRODUCT(SUMPRODUCT($B$4:$B$14-2*B25*EXP(B26*$A$4:$A$14),EXP(B26*$A$4:$A$14),$A$4:$A$14))</f>
        <v>-124181.14752074688</v>
      </c>
      <c r="I25" s="8">
        <f t="array" ref="I25:J26">MINVERSE(F25:G26)</f>
        <v>-0.10456456285232282</v>
      </c>
      <c r="J25" s="9">
        <v>8.6297807129952803E-5</v>
      </c>
      <c r="L25" s="8">
        <f t="array" ref="L25:M26">MINVERSE(MMULT(TRANSPOSE(F25:G26),F25:G26))</f>
        <v>1.0933755634159197E-2</v>
      </c>
      <c r="M25" s="9">
        <v>-9.0236995130621391E-6</v>
      </c>
      <c r="O25" t="s">
        <v>32</v>
      </c>
      <c r="P25">
        <f>B31</f>
        <v>13.504748744042464</v>
      </c>
      <c r="Q25">
        <f>SQRT(L31*R21)</f>
        <v>0.6030423848812223</v>
      </c>
      <c r="R25">
        <f>P25/Q25</f>
        <v>22.394360798872231</v>
      </c>
      <c r="S25">
        <f>TDIST(ABS(R25),P21,2)</f>
        <v>3.3420875597703758E-9</v>
      </c>
      <c r="T25">
        <f>P25-Q25*TINV(0.05,P21)</f>
        <v>12.140572093612494</v>
      </c>
      <c r="U25">
        <f>P25+Q25*TINV(0.05,P21)</f>
        <v>14.868925394472434</v>
      </c>
    </row>
    <row r="26" spans="1:21" ht="15" thickBot="1" x14ac:dyDescent="0.4">
      <c r="A26" t="s">
        <v>22</v>
      </c>
      <c r="B26" s="13">
        <v>1.6854917823883798E-2</v>
      </c>
      <c r="D26" s="13">
        <f>B25*SUMPRODUCT(SUMPRODUCT($B$4:$B$14-B25*EXP(B26*$A$4:$A$14),EXP(B26*$A$4:$A$14),$A$4:$A$14))</f>
        <v>29.296880182897066</v>
      </c>
      <c r="F26" s="10">
        <f>G25</f>
        <v>-124181.14752074688</v>
      </c>
      <c r="G26" s="11">
        <f>B25*SUMPRODUCT(SUMPRODUCT($B$4:$B$14-2*B25*EXP(B26*$A$4:$A$14),EXP(B26*$A$4:$A$14),$A$4:$A$14^2))</f>
        <v>-150466713.31350449</v>
      </c>
      <c r="I26" s="10">
        <v>8.6297807129952789E-5</v>
      </c>
      <c r="J26" s="11">
        <v>-7.7868124184447518E-8</v>
      </c>
      <c r="L26" s="10">
        <v>-9.0236995130621391E-6</v>
      </c>
      <c r="M26" s="11">
        <v>7.4473178393138721E-9</v>
      </c>
      <c r="O26" s="14" t="s">
        <v>1</v>
      </c>
      <c r="P26" s="14">
        <f>B32</f>
        <v>1.68540760183934E-2</v>
      </c>
      <c r="Q26" s="14">
        <f>SQRT(M32*R21)</f>
        <v>4.9765375578626194E-4</v>
      </c>
      <c r="R26" s="14">
        <f>P26/Q26</f>
        <v>33.867072884369193</v>
      </c>
      <c r="S26" s="14">
        <f>TDIST(ABS(R26),P21,2)</f>
        <v>8.4136531463416513E-11</v>
      </c>
      <c r="T26" s="14">
        <f>P26-Q26*TINV(0.05,P21)</f>
        <v>1.5728305010148078E-2</v>
      </c>
      <c r="U26" s="14">
        <f>P26+Q26*TINV(0.05,P21)</f>
        <v>1.7979847026638723E-2</v>
      </c>
    </row>
    <row r="28" spans="1:21" x14ac:dyDescent="0.35">
      <c r="A28" t="s">
        <v>17</v>
      </c>
      <c r="B28" s="7">
        <f t="array" ref="B28:B29">B25:B26-MMULT(I25:J26,D25:D26)</f>
        <v>13.504748453226727</v>
      </c>
      <c r="D28" s="7">
        <f>SUMPRODUCT(SUMPRODUCT($B$4:$B$14-B28*EXP(B29*$A$4:$A$14),EXP(B29*$A$4:$A$14)))</f>
        <v>7.5824589811368526E-6</v>
      </c>
      <c r="F28" s="8">
        <f>-SUMPRODUCT(EXP(2*B29*$A$4:$A$14))</f>
        <v>-112.03549195640883</v>
      </c>
      <c r="G28" s="9">
        <f>SUMPRODUCT(SUMPRODUCT($B$4:$B$14-2*B28*EXP(B29*$A$4:$A$14),EXP(B29*$A$4:$A$14),$A$4:$A$14))</f>
        <v>-124176.07223745601</v>
      </c>
      <c r="I28" s="8">
        <f t="array" ref="I28:J29">MINVERSE(F28:G29)</f>
        <v>-0.10459562941701191</v>
      </c>
      <c r="J28" s="9">
        <v>8.6316329749332255E-5</v>
      </c>
      <c r="L28" s="8">
        <f t="array" ref="L28:M29">MINVERSE(MMULT(TRANSPOSE(F28:G29),F28:G29))</f>
        <v>1.0940253019564031E-2</v>
      </c>
      <c r="M28" s="9">
        <v>-9.0283174587769148E-6</v>
      </c>
    </row>
    <row r="29" spans="1:21" x14ac:dyDescent="0.35">
      <c r="A29" t="s">
        <v>22</v>
      </c>
      <c r="B29" s="13">
        <v>1.6854076219714194E-2</v>
      </c>
      <c r="D29" s="13">
        <f>B28*SUMPRODUCT(SUMPRODUCT($B$4:$B$14-B28*EXP(B29*$A$4:$A$14),EXP(B29*$A$4:$A$14),$A$4:$A$14))</f>
        <v>5.8190186505626728E-3</v>
      </c>
      <c r="F29" s="10">
        <f>G28</f>
        <v>-124176.07223745601</v>
      </c>
      <c r="G29" s="11">
        <f>B28*SUMPRODUCT(SUMPRODUCT($B$4:$B$14-2*B28*EXP(B29*$A$4:$A$14),EXP(B29*$A$4:$A$14),$A$4:$A$14^2))</f>
        <v>-150472969.27392265</v>
      </c>
      <c r="I29" s="10">
        <v>8.6316329749332269E-5</v>
      </c>
      <c r="J29" s="11">
        <v>-7.7877261642207712E-8</v>
      </c>
      <c r="L29" s="10">
        <v>-9.0283174587769148E-6</v>
      </c>
      <c r="M29" s="11">
        <v>7.4505147617587273E-9</v>
      </c>
    </row>
    <row r="31" spans="1:21" x14ac:dyDescent="0.35">
      <c r="A31" t="s">
        <v>17</v>
      </c>
      <c r="B31" s="7">
        <f t="array" ref="B31:B32">B28:B29-MMULT(I28:J29,D28:D29)</f>
        <v>13.504748744042464</v>
      </c>
      <c r="D31" s="7">
        <f>SUMPRODUCT(SUMPRODUCT($B$4:$B$14-B31*EXP(B32*$A$4:$A$14),EXP(B32*$A$4:$A$14)))</f>
        <v>2.8288482667448989E-13</v>
      </c>
      <c r="F31" s="8">
        <f>-SUMPRODUCT(EXP(2*B32*$A$4:$A$14))</f>
        <v>-112.0354882541222</v>
      </c>
      <c r="G31" s="9">
        <f>SUMPRODUCT(SUMPRODUCT($B$4:$B$14-2*B31*EXP(B32*$A$4:$A$14),EXP(B32*$A$4:$A$14),$A$4:$A$14))</f>
        <v>-124176.07084748978</v>
      </c>
      <c r="I31" s="8">
        <f t="array" ref="I31:J32">MINVERSE(F31:G32)</f>
        <v>-0.10459563605867796</v>
      </c>
      <c r="J31" s="9">
        <v>8.6316333589332012E-5</v>
      </c>
      <c r="L31" s="8">
        <f t="array" ref="L31:M32">MINVERSE(MMULT(TRANSPOSE(F31:G32),F31:G32))</f>
        <v>1.094025438503444E-2</v>
      </c>
      <c r="M31" s="9">
        <v>-9.0283184139783749E-6</v>
      </c>
    </row>
    <row r="32" spans="1:21" x14ac:dyDescent="0.35">
      <c r="A32" t="s">
        <v>22</v>
      </c>
      <c r="B32" s="13">
        <v>1.68540760183934E-2</v>
      </c>
      <c r="D32" s="13">
        <f>B31*SUMPRODUCT(SUMPRODUCT($B$4:$B$14-B31*EXP(B32*$A$4:$A$14),EXP(B32*$A$4:$A$14),$A$4:$A$14))</f>
        <v>1.4969293744617746E-10</v>
      </c>
      <c r="F32" s="10">
        <f>G31</f>
        <v>-124176.07084748978</v>
      </c>
      <c r="G32" s="11">
        <f>B31*SUMPRODUCT(SUMPRODUCT($B$4:$B$14-2*B31*EXP(B32*$A$4:$A$14),EXP(B32*$A$4:$A$14),$A$4:$A$14^2))</f>
        <v>-150472970.45024043</v>
      </c>
      <c r="I32" s="10">
        <v>8.6316333589331998E-5</v>
      </c>
      <c r="J32" s="11">
        <v>-7.7877263404988691E-8</v>
      </c>
      <c r="L32" s="10">
        <v>-9.0283184139783766E-6</v>
      </c>
      <c r="M32" s="11">
        <v>7.4505154083860673E-9</v>
      </c>
    </row>
  </sheetData>
  <mergeCells count="3">
    <mergeCell ref="F18:G18"/>
    <mergeCell ref="I18:J18"/>
    <mergeCell ref="L18:M1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FA4C-DE42-4E9F-A198-02F22D206102}">
  <sheetPr codeName="Sheet427"/>
  <dimension ref="A1:Q18"/>
  <sheetViews>
    <sheetView workbookViewId="0"/>
  </sheetViews>
  <sheetFormatPr defaultRowHeight="14.5" x14ac:dyDescent="0.35"/>
  <cols>
    <col min="8" max="8" width="12.81640625" customWidth="1"/>
    <col min="9" max="10" width="9.81640625" customWidth="1"/>
    <col min="12" max="12" width="9.26953125" customWidth="1"/>
    <col min="13" max="14" width="10.7265625" customWidth="1"/>
  </cols>
  <sheetData>
    <row r="1" spans="1:17" x14ac:dyDescent="0.35">
      <c r="A1" s="1" t="s">
        <v>0</v>
      </c>
      <c r="G1" s="1"/>
    </row>
    <row r="2" spans="1:17" x14ac:dyDescent="0.35">
      <c r="G2" s="1"/>
    </row>
    <row r="3" spans="1:17" ht="15" thickBot="1" x14ac:dyDescent="0.4">
      <c r="A3" s="2" t="s">
        <v>1</v>
      </c>
      <c r="B3" s="2" t="s">
        <v>2</v>
      </c>
      <c r="C3" s="2" t="s">
        <v>33</v>
      </c>
      <c r="D3" s="2" t="s">
        <v>34</v>
      </c>
      <c r="E3" s="2" t="s">
        <v>10</v>
      </c>
      <c r="G3" s="1"/>
      <c r="H3" t="s">
        <v>16</v>
      </c>
    </row>
    <row r="4" spans="1:17" x14ac:dyDescent="0.35">
      <c r="A4" s="3">
        <v>45</v>
      </c>
      <c r="B4" s="3">
        <v>33</v>
      </c>
      <c r="C4" t="e">
        <f t="array" aca="1" ref="C4:C14" ca="1">ExpPred(A4:A14,A4:A14,B4:B14)</f>
        <v>#NAME?</v>
      </c>
      <c r="D4" t="e">
        <f ca="1">B4-C4</f>
        <v>#NAME?</v>
      </c>
      <c r="E4" t="e">
        <f ca="1">D4^2</f>
        <v>#NAME?</v>
      </c>
      <c r="G4" s="1"/>
      <c r="H4" s="12"/>
      <c r="I4" s="12" t="s">
        <v>18</v>
      </c>
      <c r="J4" s="12" t="s">
        <v>19</v>
      </c>
      <c r="K4" s="12" t="s">
        <v>20</v>
      </c>
      <c r="L4" s="12" t="s">
        <v>12</v>
      </c>
      <c r="M4" s="12" t="s">
        <v>35</v>
      </c>
    </row>
    <row r="5" spans="1:17" x14ac:dyDescent="0.35">
      <c r="A5" s="3">
        <v>99</v>
      </c>
      <c r="B5" s="3">
        <v>72</v>
      </c>
      <c r="C5" t="e">
        <f ca="1"/>
        <v>#NAME?</v>
      </c>
      <c r="D5" t="e">
        <f t="shared" ref="D5:D14" ca="1" si="0">B5-C5</f>
        <v>#NAME?</v>
      </c>
      <c r="E5" t="e">
        <f t="shared" ref="E5:E14" ca="1" si="1">D5^2</f>
        <v>#NAME?</v>
      </c>
      <c r="G5" s="1"/>
      <c r="H5" t="s">
        <v>23</v>
      </c>
      <c r="I5">
        <v>1</v>
      </c>
      <c r="J5" t="e">
        <f ca="1">DEVSQ(C4:C14)</f>
        <v>#NAME?</v>
      </c>
      <c r="K5" t="e">
        <f ca="1">J5/I5</f>
        <v>#NAME?</v>
      </c>
      <c r="L5" t="e">
        <f ca="1">K5/K6</f>
        <v>#NAME?</v>
      </c>
      <c r="M5" t="e">
        <f ca="1">FDIST(L5,I5,I6)</f>
        <v>#NAME?</v>
      </c>
    </row>
    <row r="6" spans="1:17" x14ac:dyDescent="0.35">
      <c r="A6" s="3">
        <v>31</v>
      </c>
      <c r="B6" s="3">
        <v>19</v>
      </c>
      <c r="C6" t="e">
        <f ca="1"/>
        <v>#NAME?</v>
      </c>
      <c r="D6" t="e">
        <f t="shared" ca="1" si="0"/>
        <v>#NAME?</v>
      </c>
      <c r="E6" t="e">
        <f t="shared" ca="1" si="1"/>
        <v>#NAME?</v>
      </c>
      <c r="G6" s="1"/>
      <c r="H6" t="s">
        <v>24</v>
      </c>
      <c r="I6">
        <v>9</v>
      </c>
      <c r="J6" t="e">
        <f ca="1">E15</f>
        <v>#NAME?</v>
      </c>
      <c r="K6" t="e">
        <f ca="1">J6/I6</f>
        <v>#NAME?</v>
      </c>
    </row>
    <row r="7" spans="1:17" ht="15" thickBot="1" x14ac:dyDescent="0.4">
      <c r="A7" s="3">
        <v>57</v>
      </c>
      <c r="B7" s="3">
        <v>27</v>
      </c>
      <c r="C7" t="e">
        <f ca="1"/>
        <v>#NAME?</v>
      </c>
      <c r="D7" t="e">
        <f t="shared" ca="1" si="0"/>
        <v>#NAME?</v>
      </c>
      <c r="E7" t="e">
        <f t="shared" ca="1" si="1"/>
        <v>#NAME?</v>
      </c>
      <c r="G7" s="1"/>
      <c r="H7" s="14" t="s">
        <v>25</v>
      </c>
      <c r="I7" s="14">
        <f>COUNT(A4:A14)-1</f>
        <v>10</v>
      </c>
      <c r="J7" s="14">
        <f>DEVSQ(B4:B14)</f>
        <v>4542.545454545454</v>
      </c>
      <c r="K7" s="14"/>
      <c r="L7" s="14"/>
      <c r="M7" s="14"/>
    </row>
    <row r="8" spans="1:17" ht="15" thickBot="1" x14ac:dyDescent="0.4">
      <c r="A8" s="3">
        <v>37</v>
      </c>
      <c r="B8" s="3">
        <v>23</v>
      </c>
      <c r="C8" t="e">
        <f ca="1"/>
        <v>#NAME?</v>
      </c>
      <c r="D8" t="e">
        <f t="shared" ca="1" si="0"/>
        <v>#NAME?</v>
      </c>
      <c r="E8" t="e">
        <f t="shared" ca="1" si="1"/>
        <v>#NAME?</v>
      </c>
      <c r="G8" s="1"/>
    </row>
    <row r="9" spans="1:17" x14ac:dyDescent="0.35">
      <c r="A9" s="3">
        <v>85</v>
      </c>
      <c r="B9" s="3">
        <v>62</v>
      </c>
      <c r="C9" t="e">
        <f ca="1"/>
        <v>#NAME?</v>
      </c>
      <c r="D9" t="e">
        <f t="shared" ca="1" si="0"/>
        <v>#NAME?</v>
      </c>
      <c r="E9" t="e">
        <f t="shared" ca="1" si="1"/>
        <v>#NAME?</v>
      </c>
      <c r="G9" s="1"/>
      <c r="H9" s="12"/>
      <c r="I9" s="12" t="s">
        <v>36</v>
      </c>
      <c r="J9" s="12" t="s">
        <v>37</v>
      </c>
      <c r="K9" s="12" t="s">
        <v>28</v>
      </c>
      <c r="L9" s="12" t="s">
        <v>29</v>
      </c>
      <c r="M9" s="12" t="s">
        <v>30</v>
      </c>
      <c r="N9" s="12" t="s">
        <v>31</v>
      </c>
    </row>
    <row r="10" spans="1:17" x14ac:dyDescent="0.35">
      <c r="A10" s="3">
        <v>21</v>
      </c>
      <c r="B10" s="3">
        <v>24</v>
      </c>
      <c r="C10" t="e">
        <f ca="1"/>
        <v>#NAME?</v>
      </c>
      <c r="D10" t="e">
        <f t="shared" ca="1" si="0"/>
        <v>#NAME?</v>
      </c>
      <c r="E10" t="e">
        <f t="shared" ca="1" si="1"/>
        <v>#NAME?</v>
      </c>
      <c r="G10" s="1"/>
      <c r="H10" t="s">
        <v>32</v>
      </c>
      <c r="I10" t="e">
        <f t="array" aca="1" ref="I10:J11" ca="1">ExpCoeff(A4:A14,B4:B14)</f>
        <v>#NAME?</v>
      </c>
      <c r="J10" t="e">
        <f ca="1"/>
        <v>#NAME?</v>
      </c>
      <c r="K10" t="e">
        <f ca="1">I10/J10</f>
        <v>#NAME?</v>
      </c>
      <c r="L10" t="e">
        <f ca="1">TDIST(ABS(K10),I6,2)</f>
        <v>#NAME?</v>
      </c>
      <c r="M10" t="e">
        <f ca="1">I10-J10*TINV(0.05,I6)</f>
        <v>#NAME?</v>
      </c>
      <c r="N10" t="e">
        <f ca="1">I10+J10*TINV(0.05,I6)</f>
        <v>#NAME?</v>
      </c>
    </row>
    <row r="11" spans="1:17" ht="15" thickBot="1" x14ac:dyDescent="0.4">
      <c r="A11" s="3">
        <v>64</v>
      </c>
      <c r="B11" s="3">
        <v>32</v>
      </c>
      <c r="C11" t="e">
        <f ca="1"/>
        <v>#NAME?</v>
      </c>
      <c r="D11" t="e">
        <f t="shared" ca="1" si="0"/>
        <v>#NAME?</v>
      </c>
      <c r="E11" t="e">
        <f t="shared" ca="1" si="1"/>
        <v>#NAME?</v>
      </c>
      <c r="G11" s="1"/>
      <c r="H11" s="14" t="s">
        <v>1</v>
      </c>
      <c r="I11" s="14" t="e">
        <f ca="1"/>
        <v>#NAME?</v>
      </c>
      <c r="J11" s="14" t="e">
        <f ca="1"/>
        <v>#NAME?</v>
      </c>
      <c r="K11" s="14" t="e">
        <f ca="1">I11/J11</f>
        <v>#NAME?</v>
      </c>
      <c r="L11" s="14" t="e">
        <f ca="1">TDIST(ABS(K11),I6,2)</f>
        <v>#NAME?</v>
      </c>
      <c r="M11" s="14" t="e">
        <f ca="1">I11-J11*TINV(0.05,I6)</f>
        <v>#NAME?</v>
      </c>
      <c r="N11" s="14" t="e">
        <f ca="1">I11+J11*TINV(0.05,I6)</f>
        <v>#NAME?</v>
      </c>
    </row>
    <row r="12" spans="1:17" x14ac:dyDescent="0.35">
      <c r="A12" s="3">
        <v>17</v>
      </c>
      <c r="B12" s="3">
        <v>18</v>
      </c>
      <c r="C12" t="e">
        <f ca="1"/>
        <v>#NAME?</v>
      </c>
      <c r="D12" t="e">
        <f t="shared" ca="1" si="0"/>
        <v>#NAME?</v>
      </c>
      <c r="E12" t="e">
        <f t="shared" ca="1" si="1"/>
        <v>#NAME?</v>
      </c>
      <c r="G12" s="1"/>
    </row>
    <row r="13" spans="1:17" x14ac:dyDescent="0.35">
      <c r="A13" s="3">
        <v>41</v>
      </c>
      <c r="B13" s="3">
        <v>36</v>
      </c>
      <c r="C13" t="e">
        <f ca="1"/>
        <v>#NAME?</v>
      </c>
      <c r="D13" t="e">
        <f t="shared" ca="1" si="0"/>
        <v>#NAME?</v>
      </c>
      <c r="E13" t="e">
        <f t="shared" ca="1" si="1"/>
        <v>#NAME?</v>
      </c>
      <c r="G13" s="1"/>
    </row>
    <row r="14" spans="1:17" x14ac:dyDescent="0.35">
      <c r="A14" s="4">
        <v>103</v>
      </c>
      <c r="B14" s="4">
        <v>76</v>
      </c>
      <c r="C14" s="15" t="e">
        <f ca="1"/>
        <v>#NAME?</v>
      </c>
      <c r="D14" s="15" t="e">
        <f t="shared" ca="1" si="0"/>
        <v>#NAME?</v>
      </c>
      <c r="E14" s="15" t="e">
        <f t="shared" ca="1" si="1"/>
        <v>#NAME?</v>
      </c>
      <c r="G14" s="1"/>
      <c r="I14" s="3" t="e">
        <f t="array" aca="1" ref="I14:L16" ca="1">ExpCoeff(A4:A14,B4:B14,,TRUE)</f>
        <v>#NAME?</v>
      </c>
      <c r="J14" s="3" t="e">
        <f ca="1"/>
        <v>#NAME?</v>
      </c>
      <c r="K14" s="3" t="e">
        <f ca="1"/>
        <v>#NAME?</v>
      </c>
      <c r="L14" s="3" t="e">
        <f ca="1"/>
        <v>#NAME?</v>
      </c>
      <c r="N14" s="17" t="s">
        <v>1</v>
      </c>
      <c r="O14" s="3" t="s">
        <v>33</v>
      </c>
      <c r="P14" s="17" t="s">
        <v>1</v>
      </c>
      <c r="Q14" s="3" t="s">
        <v>33</v>
      </c>
    </row>
    <row r="15" spans="1:17" x14ac:dyDescent="0.35">
      <c r="E15" t="e">
        <f ca="1">SUM(E4:E14)</f>
        <v>#NAME?</v>
      </c>
      <c r="G15" s="1"/>
      <c r="H15" t="s">
        <v>38</v>
      </c>
      <c r="I15" s="8" t="e">
        <f ca="1"/>
        <v>#NAME?</v>
      </c>
      <c r="J15" s="16" t="e">
        <f ca="1"/>
        <v>#NAME?</v>
      </c>
      <c r="K15" s="16" t="e">
        <f ca="1"/>
        <v>#NAME?</v>
      </c>
      <c r="L15" s="9" t="e">
        <f ca="1"/>
        <v>#NAME?</v>
      </c>
      <c r="N15">
        <v>45</v>
      </c>
      <c r="O15" s="7" t="e">
        <f t="array" aca="1" ref="O15:O16" ca="1">ExpPred(N15:N16,A4:A14,B4:B14)</f>
        <v>#NAME?</v>
      </c>
      <c r="P15">
        <v>45</v>
      </c>
      <c r="Q15" s="7" t="e">
        <f t="array" aca="1" ref="Q15:Q16" ca="1">ExpPredC(P15:P16,B16,B17)</f>
        <v>#NAME?</v>
      </c>
    </row>
    <row r="16" spans="1:17" x14ac:dyDescent="0.35">
      <c r="A16" s="18" t="s">
        <v>39</v>
      </c>
      <c r="B16" s="7" t="e">
        <f t="array" aca="1" ref="B16:B17" ca="1">ExpCoeff(A4:A14,B4:B14)</f>
        <v>#NAME?</v>
      </c>
      <c r="G16" s="1"/>
      <c r="H16" t="s">
        <v>40</v>
      </c>
      <c r="I16" s="10" t="e">
        <f ca="1"/>
        <v>#NAME?</v>
      </c>
      <c r="J16" s="15" t="e">
        <f ca="1"/>
        <v>#NAME?</v>
      </c>
      <c r="K16" s="15" t="e">
        <f ca="1"/>
        <v>#NAME?</v>
      </c>
      <c r="L16" s="11" t="e">
        <f ca="1"/>
        <v>#NAME?</v>
      </c>
      <c r="N16">
        <v>50</v>
      </c>
      <c r="O16" s="13" t="e">
        <f ca="1"/>
        <v>#NAME?</v>
      </c>
      <c r="P16">
        <v>50</v>
      </c>
      <c r="Q16" s="13" t="e">
        <f ca="1"/>
        <v>#NAME?</v>
      </c>
    </row>
    <row r="17" spans="1:7" x14ac:dyDescent="0.35">
      <c r="A17" s="18" t="s">
        <v>41</v>
      </c>
      <c r="B17" s="13" t="e">
        <f ca="1"/>
        <v>#NAME?</v>
      </c>
      <c r="G17" s="1"/>
    </row>
    <row r="18" spans="1:7" x14ac:dyDescent="0.35">
      <c r="G18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Exp Reg A</vt:lpstr>
      <vt:lpstr>Exp Reg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2026-01-08T15:52:43Z</dcterms:created>
  <dcterms:modified xsi:type="dcterms:W3CDTF">2026-01-08T15:57:20Z</dcterms:modified>
</cp:coreProperties>
</file>