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5192C451-E7FC-4EF5-9CC2-EBE20F53EA73}" xr6:coauthVersionLast="47" xr6:coauthVersionMax="47" xr10:uidLastSave="{00000000-0000-0000-0000-000000000000}"/>
  <bookViews>
    <workbookView xWindow="-110" yWindow="-110" windowWidth="19420" windowHeight="10300" xr2:uid="{E423A399-1633-4409-AEFC-37318C84AB14}"/>
  </bookViews>
  <sheets>
    <sheet name="Title" sheetId="2" r:id="rId1"/>
    <sheet name="Cat" sheetId="1" r:id="rId2"/>
  </sheets>
  <externalReferences>
    <externalReference r:id="rId3"/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" l="1" a="1"/>
  <c r="L45" i="1" s="1"/>
  <c r="N38" i="1"/>
  <c r="M38" i="1"/>
  <c r="M36" i="1"/>
  <c r="M37" i="1" s="1"/>
  <c r="M32" i="1"/>
  <c r="J22" i="1" a="1"/>
  <c r="J23" i="1" s="1"/>
  <c r="L18" i="1" a="1"/>
  <c r="L18" i="1" s="1"/>
  <c r="N14" i="1"/>
  <c r="M14" i="1"/>
  <c r="M13" i="1"/>
  <c r="M12" i="1"/>
  <c r="M8" i="1"/>
  <c r="S45" i="1"/>
  <c r="S44" i="1"/>
  <c r="S43" i="1"/>
  <c r="M41" i="1" a="1"/>
  <c r="S42" i="1"/>
  <c r="S21" i="1"/>
  <c r="S20" i="1"/>
  <c r="S19" i="1"/>
  <c r="M17" i="1" a="1"/>
  <c r="S18" i="1"/>
  <c r="N19" i="1" l="1"/>
  <c r="M19" i="1"/>
  <c r="N18" i="1"/>
  <c r="M18" i="1"/>
  <c r="R18" i="1" s="1"/>
  <c r="N17" i="1"/>
  <c r="M21" i="1"/>
  <c r="M17" i="1"/>
  <c r="N21" i="1"/>
  <c r="N20" i="1"/>
  <c r="M20" i="1"/>
  <c r="N41" i="1"/>
  <c r="M41" i="1"/>
  <c r="N45" i="1"/>
  <c r="N43" i="1"/>
  <c r="M45" i="1"/>
  <c r="O45" i="1" s="1"/>
  <c r="P45" i="1" s="1"/>
  <c r="N44" i="1"/>
  <c r="M44" i="1"/>
  <c r="M43" i="1"/>
  <c r="O43" i="1" s="1"/>
  <c r="P43" i="1" s="1"/>
  <c r="N42" i="1"/>
  <c r="M42" i="1"/>
  <c r="R42" i="1" s="1"/>
  <c r="Q45" i="1"/>
  <c r="R43" i="1"/>
  <c r="L19" i="1"/>
  <c r="J22" i="1"/>
  <c r="L42" i="1"/>
  <c r="L21" i="1"/>
  <c r="L43" i="1"/>
  <c r="L44" i="1"/>
  <c r="L20" i="1"/>
  <c r="Q18" i="1"/>
  <c r="O42" i="1"/>
  <c r="P42" i="1" s="1"/>
  <c r="Q44" i="1"/>
  <c r="O21" i="1"/>
  <c r="P21" i="1" s="1"/>
  <c r="Q21" i="1"/>
  <c r="O41" i="1"/>
  <c r="P41" i="1" s="1"/>
  <c r="N12" i="1"/>
  <c r="Q41" i="1" l="1"/>
  <c r="R20" i="1"/>
  <c r="O20" i="1"/>
  <c r="P20" i="1" s="1"/>
  <c r="R41" i="1"/>
  <c r="R21" i="1"/>
  <c r="Q20" i="1"/>
  <c r="Q43" i="1"/>
  <c r="R44" i="1"/>
  <c r="O44" i="1"/>
  <c r="P44" i="1" s="1"/>
  <c r="Q42" i="1"/>
  <c r="R45" i="1"/>
  <c r="O19" i="1"/>
  <c r="P19" i="1" s="1"/>
  <c r="R19" i="1"/>
  <c r="Q19" i="1"/>
  <c r="O18" i="1"/>
  <c r="P18" i="1" s="1"/>
  <c r="R17" i="1"/>
  <c r="Q17" i="1"/>
  <c r="O17" i="1"/>
  <c r="P17" i="1" s="1"/>
  <c r="N36" i="1"/>
  <c r="N37" i="1" l="1"/>
  <c r="M29" i="1"/>
  <c r="O36" i="1"/>
  <c r="O12" i="1"/>
  <c r="N13" i="1"/>
  <c r="M5" i="1"/>
  <c r="M30" i="1" l="1"/>
  <c r="M28" i="1"/>
  <c r="P28" i="1"/>
  <c r="P29" i="1" s="1"/>
  <c r="O37" i="1"/>
  <c r="M31" i="1" s="1"/>
  <c r="P30" i="1"/>
  <c r="M6" i="1"/>
  <c r="M4" i="1"/>
  <c r="O13" i="1"/>
  <c r="M7" i="1" s="1"/>
  <c r="P6" i="1"/>
  <c r="P4" i="1"/>
  <c r="P5" i="1" s="1"/>
  <c r="P12" i="1" l="1"/>
  <c r="Q12" i="1" s="1"/>
  <c r="R12" i="1" s="1"/>
  <c r="P36" i="1"/>
  <c r="Q36" i="1" s="1"/>
  <c r="R36" i="1" s="1"/>
</calcChain>
</file>

<file path=xl/sharedStrings.xml><?xml version="1.0" encoding="utf-8"?>
<sst xmlns="http://schemas.openxmlformats.org/spreadsheetml/2006/main" count="124" uniqueCount="46">
  <si>
    <t>Multiple Regression with Categorical Variables</t>
  </si>
  <si>
    <t>Regression Analysis</t>
  </si>
  <si>
    <t>Age</t>
  </si>
  <si>
    <t>Party</t>
  </si>
  <si>
    <t>Gender</t>
  </si>
  <si>
    <t>Income</t>
  </si>
  <si>
    <t>Party 1</t>
  </si>
  <si>
    <t>Party 2</t>
  </si>
  <si>
    <t>Gender 1</t>
  </si>
  <si>
    <t>OVERALL FIT</t>
  </si>
  <si>
    <t>Rep</t>
  </si>
  <si>
    <t>Male</t>
  </si>
  <si>
    <t>Multiple R</t>
  </si>
  <si>
    <t>AIC</t>
  </si>
  <si>
    <t>Dem</t>
  </si>
  <si>
    <t>R Square</t>
  </si>
  <si>
    <t>AICc</t>
  </si>
  <si>
    <t>Ind</t>
  </si>
  <si>
    <t>Adjusted R Square</t>
  </si>
  <si>
    <t>SBC</t>
  </si>
  <si>
    <t>Female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</si>
  <si>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</si>
  <si>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</si>
  <si>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</si>
  <si>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</si>
  <si>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</si>
  <si>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</si>
  <si>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</si>
  <si>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</si>
  <si>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</si>
  <si>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</si>
  <si>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</si>
  <si>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</si>
  <si>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</si>
  <si>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</si>
  <si>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</si>
  <si>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</si>
  <si>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</si>
  <si>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</si>
  <si>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</si>
  <si>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</si>
  <si>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?</t>
  </si>
  <si>
    <t>Real Statistics Using Excel</t>
  </si>
  <si>
    <t>Updated</t>
  </si>
  <si>
    <t>Copyright © 2013 - 2026 Charles Zaiontz</t>
  </si>
  <si>
    <t>Categorical Coding for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</si>
</sst>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right"/>
    </xf>
    <xf numFmtId="0" fontId="0" fillId="0" borderId="10" xfId="0" applyBorder="1"/>
    <xf numFmtId="0" fontId="0" fillId="0" borderId="4" xfId="0" applyBorder="1" applyAlignment="1">
      <alignment horizontal="right"/>
    </xf>
    <xf numFmtId="1" fontId="0" fillId="0" borderId="4" xfId="0" applyNumberFormat="1" applyBorder="1"/>
    <xf numFmtId="1" fontId="0" fillId="0" borderId="10" xfId="0" applyNumberFormat="1" applyBorder="1"/>
    <xf numFmtId="0" fontId="0" fillId="0" borderId="10" xfId="0" applyBorder="1" applyAlignment="1">
      <alignment horizontal="right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DEsign"/>
      <definedName name="RegCoeff"/>
      <definedName name="VI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5E3D-43B2-4C5D-88E7-6E08056954D6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42</v>
      </c>
    </row>
    <row r="2" spans="1:13" x14ac:dyDescent="0.35">
      <c r="A2" t="s">
        <v>45</v>
      </c>
    </row>
    <row r="4" spans="1:13" x14ac:dyDescent="0.35">
      <c r="A4" t="s">
        <v>43</v>
      </c>
      <c r="B4" s="19">
        <v>46032</v>
      </c>
    </row>
    <row r="6" spans="1:13" x14ac:dyDescent="0.35">
      <c r="A6" s="20" t="s">
        <v>44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169A-26F2-4779-9251-E39EA9323FF4}">
  <sheetPr codeName="Sheet420"/>
  <dimension ref="A1:S45"/>
  <sheetViews>
    <sheetView workbookViewId="0"/>
  </sheetViews>
  <sheetFormatPr defaultRowHeight="14.5" x14ac:dyDescent="0.35"/>
  <cols>
    <col min="1" max="1" width="6.54296875" customWidth="1"/>
    <col min="6" max="6" width="7.1796875" customWidth="1"/>
    <col min="12" max="12" width="17" customWidth="1"/>
    <col min="13" max="13" width="10.1796875" customWidth="1"/>
    <col min="14" max="14" width="12.54296875" customWidth="1"/>
    <col min="15" max="15" width="11" customWidth="1"/>
  </cols>
  <sheetData>
    <row r="1" spans="1:19" x14ac:dyDescent="0.35">
      <c r="A1" s="1" t="s">
        <v>0</v>
      </c>
      <c r="L1" t="s">
        <v>1</v>
      </c>
    </row>
    <row r="3" spans="1:19" ht="15" thickBot="1" x14ac:dyDescent="0.4">
      <c r="A3" s="2" t="s">
        <v>2</v>
      </c>
      <c r="B3" s="2" t="s">
        <v>3</v>
      </c>
      <c r="C3" s="2" t="s">
        <v>4</v>
      </c>
      <c r="D3" s="2" t="s">
        <v>5</v>
      </c>
      <c r="F3" s="2" t="s">
        <v>2</v>
      </c>
      <c r="G3" s="2" t="s">
        <v>6</v>
      </c>
      <c r="H3" s="2" t="s">
        <v>7</v>
      </c>
      <c r="I3" s="2" t="s">
        <v>8</v>
      </c>
      <c r="J3" s="2" t="s">
        <v>5</v>
      </c>
      <c r="L3" s="3" t="s">
        <v>9</v>
      </c>
      <c r="M3" s="3"/>
      <c r="O3" s="3"/>
      <c r="P3" s="3"/>
    </row>
    <row r="4" spans="1:19" ht="15" thickTop="1" x14ac:dyDescent="0.35">
      <c r="A4" s="4">
        <v>20</v>
      </c>
      <c r="B4" s="5" t="s">
        <v>10</v>
      </c>
      <c r="C4" s="5" t="s">
        <v>11</v>
      </c>
      <c r="D4" s="6">
        <v>45000</v>
      </c>
      <c r="F4" s="4">
        <v>20</v>
      </c>
      <c r="G4" s="5">
        <v>1</v>
      </c>
      <c r="H4" s="5">
        <v>0</v>
      </c>
      <c r="I4" s="5">
        <v>1</v>
      </c>
      <c r="J4" s="6">
        <v>45000</v>
      </c>
      <c r="L4" t="s">
        <v>12</v>
      </c>
      <c r="M4">
        <f>SQRT(M5)</f>
        <v>0.93963765590915804</v>
      </c>
      <c r="O4" t="s">
        <v>13</v>
      </c>
      <c r="P4">
        <f>M8*LN(N13/M8)+2*(M12+1)</f>
        <v>274.49469937246005</v>
      </c>
    </row>
    <row r="5" spans="1:19" x14ac:dyDescent="0.35">
      <c r="A5" s="7">
        <v>25</v>
      </c>
      <c r="B5" s="2" t="s">
        <v>14</v>
      </c>
      <c r="C5" s="2" t="s">
        <v>11</v>
      </c>
      <c r="D5" s="8">
        <v>39000</v>
      </c>
      <c r="F5" s="7">
        <v>25</v>
      </c>
      <c r="G5" s="2">
        <v>0</v>
      </c>
      <c r="H5" s="2">
        <v>1</v>
      </c>
      <c r="I5" s="2">
        <v>1</v>
      </c>
      <c r="J5" s="8">
        <v>39000</v>
      </c>
      <c r="L5" t="s">
        <v>15</v>
      </c>
      <c r="M5">
        <f>N12/N14</f>
        <v>0.88291892440245734</v>
      </c>
      <c r="O5" t="s">
        <v>16</v>
      </c>
      <c r="P5">
        <f>P4+2*(M12+2)*(M12+3)/(M8-M12-3)</f>
        <v>283.82803270579336</v>
      </c>
    </row>
    <row r="6" spans="1:19" x14ac:dyDescent="0.35">
      <c r="A6" s="7">
        <v>45</v>
      </c>
      <c r="B6" s="2" t="s">
        <v>17</v>
      </c>
      <c r="C6" s="2" t="s">
        <v>11</v>
      </c>
      <c r="D6" s="8">
        <v>56000</v>
      </c>
      <c r="F6" s="7">
        <v>45</v>
      </c>
      <c r="G6" s="2">
        <v>0</v>
      </c>
      <c r="H6" s="2">
        <v>0</v>
      </c>
      <c r="I6" s="2">
        <v>1</v>
      </c>
      <c r="J6" s="8">
        <v>56000</v>
      </c>
      <c r="L6" t="s">
        <v>18</v>
      </c>
      <c r="M6">
        <f>1-(1-M5)*(M8-1)/(M8-M12-1)</f>
        <v>0.84034398782153275</v>
      </c>
      <c r="O6" s="9" t="s">
        <v>19</v>
      </c>
      <c r="P6" s="9">
        <f>M8*LN(N13/M8)+(M12+1)*LN(M8)</f>
        <v>278.35764298365893</v>
      </c>
    </row>
    <row r="7" spans="1:19" x14ac:dyDescent="0.35">
      <c r="A7" s="7">
        <v>35</v>
      </c>
      <c r="B7" s="2" t="s">
        <v>10</v>
      </c>
      <c r="C7" s="2" t="s">
        <v>20</v>
      </c>
      <c r="D7" s="8">
        <v>49000</v>
      </c>
      <c r="F7" s="7">
        <v>35</v>
      </c>
      <c r="G7" s="2">
        <v>1</v>
      </c>
      <c r="H7" s="2">
        <v>0</v>
      </c>
      <c r="I7" s="2">
        <v>0</v>
      </c>
      <c r="J7" s="8">
        <v>49000</v>
      </c>
      <c r="L7" t="s">
        <v>21</v>
      </c>
      <c r="M7">
        <f>SQRT(O13)</f>
        <v>4688.2097873177909</v>
      </c>
    </row>
    <row r="8" spans="1:19" x14ac:dyDescent="0.35">
      <c r="A8" s="7">
        <v>50</v>
      </c>
      <c r="B8" s="2" t="s">
        <v>14</v>
      </c>
      <c r="C8" s="2" t="s">
        <v>20</v>
      </c>
      <c r="D8" s="8">
        <v>41000</v>
      </c>
      <c r="F8" s="7">
        <v>50</v>
      </c>
      <c r="G8" s="2">
        <v>0</v>
      </c>
      <c r="H8" s="2">
        <v>1</v>
      </c>
      <c r="I8" s="2">
        <v>0</v>
      </c>
      <c r="J8" s="8">
        <v>41000</v>
      </c>
      <c r="L8" s="9" t="s">
        <v>22</v>
      </c>
      <c r="M8" s="9">
        <f>COUNT(J4:J19)</f>
        <v>16</v>
      </c>
    </row>
    <row r="9" spans="1:19" x14ac:dyDescent="0.35">
      <c r="A9" s="7">
        <v>55</v>
      </c>
      <c r="B9" s="2" t="s">
        <v>17</v>
      </c>
      <c r="C9" s="2" t="s">
        <v>20</v>
      </c>
      <c r="D9" s="8">
        <v>42000</v>
      </c>
      <c r="F9" s="7">
        <v>55</v>
      </c>
      <c r="G9" s="2">
        <v>0</v>
      </c>
      <c r="H9" s="2">
        <v>0</v>
      </c>
      <c r="I9" s="2">
        <v>0</v>
      </c>
      <c r="J9" s="8">
        <v>42000</v>
      </c>
    </row>
    <row r="10" spans="1:19" ht="15" thickBot="1" x14ac:dyDescent="0.4">
      <c r="A10" s="7">
        <v>39</v>
      </c>
      <c r="B10" s="2" t="s">
        <v>10</v>
      </c>
      <c r="C10" s="2" t="s">
        <v>11</v>
      </c>
      <c r="D10" s="8">
        <v>58000</v>
      </c>
      <c r="F10" s="7">
        <v>39</v>
      </c>
      <c r="G10" s="2">
        <v>1</v>
      </c>
      <c r="H10" s="2">
        <v>0</v>
      </c>
      <c r="I10" s="2">
        <v>1</v>
      </c>
      <c r="J10" s="8">
        <v>58000</v>
      </c>
      <c r="L10" t="s">
        <v>23</v>
      </c>
      <c r="P10" s="10" t="s">
        <v>24</v>
      </c>
      <c r="Q10" s="10">
        <v>0.05</v>
      </c>
    </row>
    <row r="11" spans="1:19" ht="15" thickTop="1" x14ac:dyDescent="0.35">
      <c r="A11" s="7">
        <v>48</v>
      </c>
      <c r="B11" s="2" t="s">
        <v>14</v>
      </c>
      <c r="C11" s="2" t="s">
        <v>11</v>
      </c>
      <c r="D11" s="8">
        <v>55000</v>
      </c>
      <c r="F11" s="7">
        <v>48</v>
      </c>
      <c r="G11" s="2">
        <v>0</v>
      </c>
      <c r="H11" s="2">
        <v>1</v>
      </c>
      <c r="I11" s="2">
        <v>1</v>
      </c>
      <c r="J11" s="8">
        <v>55000</v>
      </c>
      <c r="L11" s="11"/>
      <c r="M11" s="11" t="s">
        <v>25</v>
      </c>
      <c r="N11" s="11" t="s">
        <v>26</v>
      </c>
      <c r="O11" s="11" t="s">
        <v>27</v>
      </c>
      <c r="P11" s="11" t="s">
        <v>28</v>
      </c>
      <c r="Q11" s="11" t="s">
        <v>29</v>
      </c>
      <c r="R11" s="11" t="s">
        <v>30</v>
      </c>
    </row>
    <row r="12" spans="1:19" x14ac:dyDescent="0.35">
      <c r="A12" s="7">
        <v>30</v>
      </c>
      <c r="B12" s="2" t="s">
        <v>17</v>
      </c>
      <c r="C12" s="2" t="s">
        <v>11</v>
      </c>
      <c r="D12" s="8">
        <v>46000</v>
      </c>
      <c r="F12" s="7">
        <v>30</v>
      </c>
      <c r="G12" s="2">
        <v>0</v>
      </c>
      <c r="H12" s="2">
        <v>0</v>
      </c>
      <c r="I12" s="2">
        <v>1</v>
      </c>
      <c r="J12" s="8">
        <v>46000</v>
      </c>
      <c r="L12" t="s">
        <v>31</v>
      </c>
      <c r="M12">
        <f>COUNT(F4:I4)</f>
        <v>4</v>
      </c>
      <c r="N12">
        <f>DEVSQ(MMULT([2]!DEsign(F4:I19),M17:M21))</f>
        <v>1823227578.8910744</v>
      </c>
      <c r="O12">
        <f>N12/M12</f>
        <v>455806894.7227686</v>
      </c>
      <c r="P12">
        <f>O12/O13</f>
        <v>20.73799740662545</v>
      </c>
      <c r="Q12">
        <f>FDIST(P12,M12,M13)</f>
        <v>4.408409692181053E-5</v>
      </c>
      <c r="R12" s="10" t="str">
        <f>IF(Q12&lt;Q10,"yes","no")</f>
        <v>yes</v>
      </c>
    </row>
    <row r="13" spans="1:19" x14ac:dyDescent="0.35">
      <c r="A13" s="7">
        <v>27</v>
      </c>
      <c r="B13" s="2" t="s">
        <v>10</v>
      </c>
      <c r="C13" s="2" t="s">
        <v>20</v>
      </c>
      <c r="D13" s="8">
        <v>42000</v>
      </c>
      <c r="F13" s="7">
        <v>27</v>
      </c>
      <c r="G13" s="2">
        <v>1</v>
      </c>
      <c r="H13" s="2">
        <v>0</v>
      </c>
      <c r="I13" s="2">
        <v>0</v>
      </c>
      <c r="J13" s="8">
        <v>42000</v>
      </c>
      <c r="L13" t="s">
        <v>32</v>
      </c>
      <c r="M13">
        <f>M14-M12</f>
        <v>11</v>
      </c>
      <c r="N13">
        <f>N14-N12</f>
        <v>241772421.10892558</v>
      </c>
      <c r="O13">
        <f>N13/M13</f>
        <v>21979311.009902325</v>
      </c>
    </row>
    <row r="14" spans="1:19" x14ac:dyDescent="0.35">
      <c r="A14" s="7">
        <v>47</v>
      </c>
      <c r="B14" s="2" t="s">
        <v>14</v>
      </c>
      <c r="C14" s="2" t="s">
        <v>20</v>
      </c>
      <c r="D14" s="8">
        <v>37000</v>
      </c>
      <c r="F14" s="7">
        <v>47</v>
      </c>
      <c r="G14" s="2">
        <v>0</v>
      </c>
      <c r="H14" s="2">
        <v>1</v>
      </c>
      <c r="I14" s="2">
        <v>0</v>
      </c>
      <c r="J14" s="8">
        <v>37000</v>
      </c>
      <c r="L14" s="9" t="s">
        <v>33</v>
      </c>
      <c r="M14" s="9">
        <f>M8-1</f>
        <v>15</v>
      </c>
      <c r="N14" s="9">
        <f>DEVSQ(J4:J19)</f>
        <v>2065000000</v>
      </c>
      <c r="O14" s="9"/>
      <c r="P14" s="9"/>
      <c r="Q14" s="9"/>
      <c r="R14" s="9"/>
    </row>
    <row r="15" spans="1:19" ht="15" thickBot="1" x14ac:dyDescent="0.4">
      <c r="A15" s="7">
        <v>21</v>
      </c>
      <c r="B15" s="2" t="s">
        <v>17</v>
      </c>
      <c r="C15" s="2" t="s">
        <v>20</v>
      </c>
      <c r="D15" s="8">
        <v>25000</v>
      </c>
      <c r="F15" s="7">
        <v>21</v>
      </c>
      <c r="G15" s="2">
        <v>0</v>
      </c>
      <c r="H15" s="2">
        <v>0</v>
      </c>
      <c r="I15" s="2">
        <v>0</v>
      </c>
      <c r="J15" s="8">
        <v>25000</v>
      </c>
    </row>
    <row r="16" spans="1:19" ht="15" thickTop="1" x14ac:dyDescent="0.35">
      <c r="A16" s="7">
        <v>48</v>
      </c>
      <c r="B16" s="2" t="s">
        <v>10</v>
      </c>
      <c r="C16" s="2" t="s">
        <v>11</v>
      </c>
      <c r="D16" s="8">
        <v>75000</v>
      </c>
      <c r="F16" s="7">
        <v>48</v>
      </c>
      <c r="G16" s="2">
        <v>1</v>
      </c>
      <c r="H16" s="2">
        <v>0</v>
      </c>
      <c r="I16" s="2">
        <v>1</v>
      </c>
      <c r="J16" s="8">
        <v>75000</v>
      </c>
      <c r="L16" s="11"/>
      <c r="M16" s="11" t="s">
        <v>34</v>
      </c>
      <c r="N16" s="11" t="s">
        <v>35</v>
      </c>
      <c r="O16" s="11" t="s">
        <v>36</v>
      </c>
      <c r="P16" s="11" t="s">
        <v>29</v>
      </c>
      <c r="Q16" s="11" t="s">
        <v>37</v>
      </c>
      <c r="R16" s="11" t="s">
        <v>38</v>
      </c>
      <c r="S16" s="11" t="s">
        <v>39</v>
      </c>
    </row>
    <row r="17" spans="1:19" x14ac:dyDescent="0.35">
      <c r="A17" s="7">
        <v>24</v>
      </c>
      <c r="B17" s="2" t="s">
        <v>17</v>
      </c>
      <c r="C17" s="2" t="s">
        <v>11</v>
      </c>
      <c r="D17" s="8">
        <v>43000</v>
      </c>
      <c r="F17" s="7">
        <v>24</v>
      </c>
      <c r="G17" s="2">
        <v>0</v>
      </c>
      <c r="H17" s="2">
        <v>0</v>
      </c>
      <c r="I17" s="2">
        <v>1</v>
      </c>
      <c r="J17" s="8">
        <v>43000</v>
      </c>
      <c r="L17" t="s">
        <v>40</v>
      </c>
      <c r="M17">
        <f t="array" ref="M17:N21">[2]!RegCoeff(F4:I19,J4:J19)</f>
        <v>13994.703836424957</v>
      </c>
      <c r="N17">
        <v>4506.4962103634234</v>
      </c>
      <c r="O17">
        <f>M17/N17</f>
        <v>3.1054511494410781</v>
      </c>
      <c r="P17">
        <f>TDIST(ABS(O17),$M$13,2)</f>
        <v>1.0006342124514856E-2</v>
      </c>
      <c r="Q17">
        <f>M17-TINV(Q$10,$M$13)*N17</f>
        <v>4075.9725534058562</v>
      </c>
      <c r="R17">
        <f>M17+TINV(Q$10,$M$13)*N17</f>
        <v>23913.435119444057</v>
      </c>
    </row>
    <row r="18" spans="1:19" x14ac:dyDescent="0.35">
      <c r="A18" s="7">
        <v>28</v>
      </c>
      <c r="B18" s="2" t="s">
        <v>17</v>
      </c>
      <c r="C18" s="2" t="s">
        <v>20</v>
      </c>
      <c r="D18" s="8">
        <v>40000</v>
      </c>
      <c r="F18" s="7">
        <v>28</v>
      </c>
      <c r="G18" s="2">
        <v>0</v>
      </c>
      <c r="H18" s="2">
        <v>0</v>
      </c>
      <c r="I18" s="2">
        <v>0</v>
      </c>
      <c r="J18" s="8">
        <v>40000</v>
      </c>
      <c r="L18" t="str">
        <f t="array" ref="L18:L21">TRANSPOSE(F3:I3)</f>
        <v>Age</v>
      </c>
      <c r="M18">
        <v>625.61188401723814</v>
      </c>
      <c r="N18">
        <v>112.01746868616311</v>
      </c>
      <c r="O18">
        <f>M18/N18</f>
        <v>5.5849493061658197</v>
      </c>
      <c r="P18">
        <f>TDIST(ABS(O18),$M$13,2)</f>
        <v>1.6395518215612888E-4</v>
      </c>
      <c r="Q18">
        <f>M18-TINV(Q$10,$M$13)*N18</f>
        <v>379.06309776796331</v>
      </c>
      <c r="R18">
        <f>M18+TINV(Q$10,$M$13)*N18</f>
        <v>872.16067026651297</v>
      </c>
      <c r="S18">
        <f>[2]!VIF(F4:I19,1)</f>
        <v>1.1405086249297358</v>
      </c>
    </row>
    <row r="19" spans="1:19" x14ac:dyDescent="0.35">
      <c r="A19" s="12">
        <v>40</v>
      </c>
      <c r="B19" s="13" t="s">
        <v>14</v>
      </c>
      <c r="C19" s="13" t="s">
        <v>20</v>
      </c>
      <c r="D19" s="14">
        <v>31000</v>
      </c>
      <c r="F19" s="12">
        <v>40</v>
      </c>
      <c r="G19" s="13">
        <v>0</v>
      </c>
      <c r="H19" s="13">
        <v>1</v>
      </c>
      <c r="I19" s="13">
        <v>0</v>
      </c>
      <c r="J19" s="14">
        <v>31000</v>
      </c>
      <c r="L19" t="str">
        <v>Party 1</v>
      </c>
      <c r="M19">
        <v>10453.101578602213</v>
      </c>
      <c r="N19">
        <v>2848.8238400619825</v>
      </c>
      <c r="O19">
        <f>M19/N19</f>
        <v>3.6692692021191391</v>
      </c>
      <c r="P19">
        <f>TDIST(ABS(O19),$M$13,2)</f>
        <v>3.6943350833835765E-3</v>
      </c>
      <c r="Q19">
        <f>M19-TINV(Q$10,$M$13)*N19</f>
        <v>4182.8825829105144</v>
      </c>
      <c r="R19">
        <f>M19+TINV(Q$10,$M$13)*N19</f>
        <v>16723.32057429391</v>
      </c>
      <c r="S19">
        <f>[2]!VIF(F4:I19,2)</f>
        <v>1.2692869721402475</v>
      </c>
    </row>
    <row r="20" spans="1:19" x14ac:dyDescent="0.35">
      <c r="L20" t="str">
        <v>Party 2</v>
      </c>
      <c r="M20">
        <v>-5141.4115686090799</v>
      </c>
      <c r="N20">
        <v>2985.1823269142724</v>
      </c>
      <c r="O20">
        <f>M20/N20</f>
        <v>-1.7223107353458245</v>
      </c>
      <c r="P20">
        <f>TDIST(ABS(O20),$M$13,2)</f>
        <v>0.11297337213571668</v>
      </c>
      <c r="Q20">
        <f>M20-TINV(Q$10,$M$13)*N20</f>
        <v>-11711.753570315219</v>
      </c>
      <c r="R20">
        <f>M20+TINV(Q$10,$M$13)*N20</f>
        <v>1428.930433097059</v>
      </c>
      <c r="S20">
        <f>[2]!VIF(F4:I19,3)</f>
        <v>1.3937033889786707</v>
      </c>
    </row>
    <row r="21" spans="1:19" x14ac:dyDescent="0.35">
      <c r="A21" s="2" t="s">
        <v>2</v>
      </c>
      <c r="B21" s="2" t="s">
        <v>3</v>
      </c>
      <c r="C21" s="2" t="s">
        <v>4</v>
      </c>
      <c r="D21" s="2" t="s">
        <v>5</v>
      </c>
      <c r="F21" s="2" t="s">
        <v>2</v>
      </c>
      <c r="G21" s="2" t="s">
        <v>6</v>
      </c>
      <c r="H21" s="2" t="s">
        <v>7</v>
      </c>
      <c r="I21" s="2" t="s">
        <v>8</v>
      </c>
      <c r="J21" s="2" t="s">
        <v>5</v>
      </c>
      <c r="L21" s="9" t="str">
        <v>Gender 1</v>
      </c>
      <c r="M21" s="9">
        <v>13677.521508650299</v>
      </c>
      <c r="N21" s="9">
        <v>2384.7867074809001</v>
      </c>
      <c r="O21" s="9">
        <f>M21/N21</f>
        <v>5.7353227715270814</v>
      </c>
      <c r="P21" s="9">
        <f>TDIST(ABS(O21),$M$13,2)</f>
        <v>1.3117399625872458E-4</v>
      </c>
      <c r="Q21" s="9">
        <f>M21-TINV(Q$10,$M$13)*N21</f>
        <v>8428.6413555010404</v>
      </c>
      <c r="R21" s="9">
        <f>M21+TINV(Q$10,$M$13)*N21</f>
        <v>18926.401661799558</v>
      </c>
      <c r="S21" s="9">
        <f>[2]!VIF(F4:I19,4)</f>
        <v>1.0350110861282869</v>
      </c>
    </row>
    <row r="22" spans="1:19" x14ac:dyDescent="0.35">
      <c r="A22" s="4">
        <v>25</v>
      </c>
      <c r="B22" s="5" t="s">
        <v>14</v>
      </c>
      <c r="C22" s="5" t="s">
        <v>20</v>
      </c>
      <c r="D22" s="15" t="s">
        <v>41</v>
      </c>
      <c r="F22" s="4">
        <v>25</v>
      </c>
      <c r="G22" s="5">
        <v>0</v>
      </c>
      <c r="H22" s="5">
        <v>1</v>
      </c>
      <c r="I22" s="5">
        <v>0</v>
      </c>
      <c r="J22" s="16">
        <f t="array" ref="J22:J23">TREND(J4:J19,F4:I19,F22:I23)</f>
        <v>24493.58936824683</v>
      </c>
    </row>
    <row r="23" spans="1:19" x14ac:dyDescent="0.35">
      <c r="A23" s="12">
        <v>40</v>
      </c>
      <c r="B23" s="13" t="s">
        <v>17</v>
      </c>
      <c r="C23" s="13" t="s">
        <v>11</v>
      </c>
      <c r="D23" s="18" t="s">
        <v>41</v>
      </c>
      <c r="F23" s="12">
        <v>40</v>
      </c>
      <c r="G23" s="13">
        <v>0</v>
      </c>
      <c r="H23" s="13">
        <v>0</v>
      </c>
      <c r="I23" s="13">
        <v>1</v>
      </c>
      <c r="J23" s="17">
        <v>52696.700705764786</v>
      </c>
    </row>
    <row r="24" spans="1:19" x14ac:dyDescent="0.35">
      <c r="B24" s="2"/>
      <c r="C24" s="2"/>
      <c r="D24" s="2"/>
      <c r="G24" s="2"/>
      <c r="H24" s="2"/>
      <c r="I24" s="2"/>
    </row>
    <row r="25" spans="1:19" x14ac:dyDescent="0.35">
      <c r="L25" t="s">
        <v>1</v>
      </c>
    </row>
    <row r="27" spans="1:19" ht="15" thickBot="1" x14ac:dyDescent="0.4">
      <c r="F27" s="2" t="s">
        <v>2</v>
      </c>
      <c r="G27" s="2" t="s">
        <v>6</v>
      </c>
      <c r="H27" s="2" t="s">
        <v>7</v>
      </c>
      <c r="I27" s="2" t="s">
        <v>8</v>
      </c>
      <c r="J27" s="2" t="s">
        <v>5</v>
      </c>
      <c r="L27" s="3" t="s">
        <v>9</v>
      </c>
      <c r="M27" s="3"/>
      <c r="O27" s="3"/>
      <c r="P27" s="3"/>
    </row>
    <row r="28" spans="1:19" ht="15" thickTop="1" x14ac:dyDescent="0.35">
      <c r="F28" s="4">
        <v>20</v>
      </c>
      <c r="G28" s="5">
        <v>1</v>
      </c>
      <c r="H28" s="5">
        <v>0</v>
      </c>
      <c r="I28" s="5">
        <v>1</v>
      </c>
      <c r="J28" s="6">
        <v>45000</v>
      </c>
      <c r="L28" t="s">
        <v>12</v>
      </c>
      <c r="M28">
        <f>SQRT(M29)</f>
        <v>0.93963765590915804</v>
      </c>
      <c r="O28" t="s">
        <v>13</v>
      </c>
      <c r="P28">
        <f>M32*LN(N37/M32)+2*(M36+1)</f>
        <v>274.49469937246005</v>
      </c>
    </row>
    <row r="29" spans="1:19" x14ac:dyDescent="0.35">
      <c r="F29" s="7">
        <v>25</v>
      </c>
      <c r="G29" s="2">
        <v>0</v>
      </c>
      <c r="H29" s="2">
        <v>1</v>
      </c>
      <c r="I29" s="2">
        <v>1</v>
      </c>
      <c r="J29" s="8">
        <v>39000</v>
      </c>
      <c r="L29" t="s">
        <v>15</v>
      </c>
      <c r="M29">
        <f>N36/N38</f>
        <v>0.88291892440245734</v>
      </c>
      <c r="O29" t="s">
        <v>16</v>
      </c>
      <c r="P29">
        <f>P28+2*(M36+2)*(M36+3)/(M32-M36-3)</f>
        <v>283.82803270579336</v>
      </c>
    </row>
    <row r="30" spans="1:19" x14ac:dyDescent="0.35">
      <c r="F30" s="7">
        <v>45</v>
      </c>
      <c r="G30" s="2">
        <v>-1</v>
      </c>
      <c r="H30" s="2">
        <v>-1</v>
      </c>
      <c r="I30" s="2">
        <v>1</v>
      </c>
      <c r="J30" s="8">
        <v>56000</v>
      </c>
      <c r="L30" t="s">
        <v>18</v>
      </c>
      <c r="M30">
        <f>1-(1-M29)*(M32-1)/(M32-M36-1)</f>
        <v>0.84034398782153275</v>
      </c>
      <c r="O30" s="9" t="s">
        <v>19</v>
      </c>
      <c r="P30" s="9">
        <f>M32*LN(N37/M32)+(M36+1)*LN(M32)</f>
        <v>278.35764298365893</v>
      </c>
    </row>
    <row r="31" spans="1:19" x14ac:dyDescent="0.35">
      <c r="F31" s="7">
        <v>35</v>
      </c>
      <c r="G31" s="2">
        <v>1</v>
      </c>
      <c r="H31" s="2">
        <v>0</v>
      </c>
      <c r="I31" s="2">
        <v>-1</v>
      </c>
      <c r="J31" s="8">
        <v>49000</v>
      </c>
      <c r="L31" t="s">
        <v>21</v>
      </c>
      <c r="M31">
        <f>SQRT(O37)</f>
        <v>4688.2097873177909</v>
      </c>
    </row>
    <row r="32" spans="1:19" x14ac:dyDescent="0.35">
      <c r="F32" s="7">
        <v>50</v>
      </c>
      <c r="G32" s="2">
        <v>0</v>
      </c>
      <c r="H32" s="2">
        <v>1</v>
      </c>
      <c r="I32" s="2">
        <v>-1</v>
      </c>
      <c r="J32" s="8">
        <v>41000</v>
      </c>
      <c r="L32" s="9" t="s">
        <v>22</v>
      </c>
      <c r="M32" s="9">
        <f>COUNT(J28:J43)</f>
        <v>16</v>
      </c>
    </row>
    <row r="33" spans="6:19" x14ac:dyDescent="0.35">
      <c r="F33" s="7">
        <v>55</v>
      </c>
      <c r="G33" s="2">
        <v>-1</v>
      </c>
      <c r="H33" s="2">
        <v>-1</v>
      </c>
      <c r="I33" s="2">
        <v>-1</v>
      </c>
      <c r="J33" s="8">
        <v>42000</v>
      </c>
    </row>
    <row r="34" spans="6:19" ht="15" thickBot="1" x14ac:dyDescent="0.4">
      <c r="F34" s="7">
        <v>39</v>
      </c>
      <c r="G34" s="2">
        <v>1</v>
      </c>
      <c r="H34" s="2">
        <v>0</v>
      </c>
      <c r="I34" s="2">
        <v>1</v>
      </c>
      <c r="J34" s="8">
        <v>58000</v>
      </c>
      <c r="L34" t="s">
        <v>23</v>
      </c>
      <c r="P34" s="10" t="s">
        <v>24</v>
      </c>
      <c r="Q34" s="10">
        <v>0.05</v>
      </c>
    </row>
    <row r="35" spans="6:19" ht="15" thickTop="1" x14ac:dyDescent="0.35">
      <c r="F35" s="7">
        <v>48</v>
      </c>
      <c r="G35" s="2">
        <v>0</v>
      </c>
      <c r="H35" s="2">
        <v>1</v>
      </c>
      <c r="I35" s="2">
        <v>1</v>
      </c>
      <c r="J35" s="8">
        <v>55000</v>
      </c>
      <c r="L35" s="11"/>
      <c r="M35" s="11" t="s">
        <v>25</v>
      </c>
      <c r="N35" s="11" t="s">
        <v>26</v>
      </c>
      <c r="O35" s="11" t="s">
        <v>27</v>
      </c>
      <c r="P35" s="11" t="s">
        <v>28</v>
      </c>
      <c r="Q35" s="11" t="s">
        <v>29</v>
      </c>
      <c r="R35" s="11" t="s">
        <v>30</v>
      </c>
    </row>
    <row r="36" spans="6:19" x14ac:dyDescent="0.35">
      <c r="F36" s="7">
        <v>30</v>
      </c>
      <c r="G36" s="2">
        <v>-1</v>
      </c>
      <c r="H36" s="2">
        <v>-1</v>
      </c>
      <c r="I36" s="2">
        <v>1</v>
      </c>
      <c r="J36" s="8">
        <v>46000</v>
      </c>
      <c r="L36" t="s">
        <v>31</v>
      </c>
      <c r="M36">
        <f>COUNT(F28:I28)</f>
        <v>4</v>
      </c>
      <c r="N36">
        <f>DEVSQ(MMULT([2]!DEsign(F28:I43),M41:M45))</f>
        <v>1823227578.8910744</v>
      </c>
      <c r="O36">
        <f>N36/M36</f>
        <v>455806894.7227686</v>
      </c>
      <c r="P36">
        <f>O36/O37</f>
        <v>20.73799740662545</v>
      </c>
      <c r="Q36">
        <f>FDIST(P36,M36,M37)</f>
        <v>4.408409692181053E-5</v>
      </c>
      <c r="R36" s="10" t="str">
        <f>IF(Q36&lt;Q34,"yes","no")</f>
        <v>yes</v>
      </c>
    </row>
    <row r="37" spans="6:19" x14ac:dyDescent="0.35">
      <c r="F37" s="7">
        <v>27</v>
      </c>
      <c r="G37" s="2">
        <v>1</v>
      </c>
      <c r="H37" s="2">
        <v>0</v>
      </c>
      <c r="I37" s="2">
        <v>-1</v>
      </c>
      <c r="J37" s="8">
        <v>42000</v>
      </c>
      <c r="L37" t="s">
        <v>32</v>
      </c>
      <c r="M37">
        <f>M38-M36</f>
        <v>11</v>
      </c>
      <c r="N37">
        <f>N38-N36</f>
        <v>241772421.10892558</v>
      </c>
      <c r="O37">
        <f>N37/M37</f>
        <v>21979311.009902325</v>
      </c>
    </row>
    <row r="38" spans="6:19" x14ac:dyDescent="0.35">
      <c r="F38" s="7">
        <v>47</v>
      </c>
      <c r="G38" s="2">
        <v>0</v>
      </c>
      <c r="H38" s="2">
        <v>1</v>
      </c>
      <c r="I38" s="2">
        <v>-1</v>
      </c>
      <c r="J38" s="8">
        <v>37000</v>
      </c>
      <c r="L38" s="9" t="s">
        <v>33</v>
      </c>
      <c r="M38" s="9">
        <f>M32-1</f>
        <v>15</v>
      </c>
      <c r="N38" s="9">
        <f>DEVSQ(J28:J43)</f>
        <v>2065000000</v>
      </c>
      <c r="O38" s="9"/>
      <c r="P38" s="9"/>
      <c r="Q38" s="9"/>
      <c r="R38" s="9"/>
    </row>
    <row r="39" spans="6:19" ht="15" thickBot="1" x14ac:dyDescent="0.4">
      <c r="F39" s="7">
        <v>21</v>
      </c>
      <c r="G39" s="2">
        <v>-1</v>
      </c>
      <c r="H39" s="2">
        <v>-1</v>
      </c>
      <c r="I39" s="2">
        <v>-1</v>
      </c>
      <c r="J39" s="8">
        <v>25000</v>
      </c>
    </row>
    <row r="40" spans="6:19" ht="15" thickTop="1" x14ac:dyDescent="0.35">
      <c r="F40" s="7">
        <v>48</v>
      </c>
      <c r="G40" s="2">
        <v>1</v>
      </c>
      <c r="H40" s="2">
        <v>0</v>
      </c>
      <c r="I40" s="2">
        <v>1</v>
      </c>
      <c r="J40" s="8">
        <v>75000</v>
      </c>
      <c r="L40" s="11"/>
      <c r="M40" s="11" t="s">
        <v>34</v>
      </c>
      <c r="N40" s="11" t="s">
        <v>35</v>
      </c>
      <c r="O40" s="11" t="s">
        <v>36</v>
      </c>
      <c r="P40" s="11" t="s">
        <v>29</v>
      </c>
      <c r="Q40" s="11" t="s">
        <v>37</v>
      </c>
      <c r="R40" s="11" t="s">
        <v>38</v>
      </c>
      <c r="S40" s="11" t="s">
        <v>39</v>
      </c>
    </row>
    <row r="41" spans="6:19" x14ac:dyDescent="0.35">
      <c r="F41" s="7">
        <v>24</v>
      </c>
      <c r="G41" s="2">
        <v>-1</v>
      </c>
      <c r="H41" s="2">
        <v>-1</v>
      </c>
      <c r="I41" s="2">
        <v>1</v>
      </c>
      <c r="J41" s="8">
        <v>43000</v>
      </c>
      <c r="L41" t="s">
        <v>40</v>
      </c>
      <c r="M41">
        <f t="array" ref="M41:N45">[2]!RegCoeff(F28:I43,J28:J43)</f>
        <v>22604.027927414485</v>
      </c>
      <c r="N41">
        <v>4259.2928779760678</v>
      </c>
      <c r="O41">
        <f>M41/N41</f>
        <v>5.3069907552719116</v>
      </c>
      <c r="P41">
        <f>TDIST(ABS(O41),$M$37,2)</f>
        <v>2.4971858553746298E-4</v>
      </c>
      <c r="Q41">
        <f>M41-TINV(Q$34,$M$37)*N41</f>
        <v>13229.387510505154</v>
      </c>
      <c r="R41">
        <f>M41+TINV(Q$34,$M$37)*N41</f>
        <v>31978.668344323814</v>
      </c>
    </row>
    <row r="42" spans="6:19" x14ac:dyDescent="0.35">
      <c r="F42" s="7">
        <v>28</v>
      </c>
      <c r="G42" s="2">
        <v>-1</v>
      </c>
      <c r="H42" s="2">
        <v>-1</v>
      </c>
      <c r="I42" s="2">
        <v>-1</v>
      </c>
      <c r="J42" s="8">
        <v>40000</v>
      </c>
      <c r="L42" t="str">
        <f t="array" ref="L42:L45">TRANSPOSE(F27:I27)</f>
        <v>Age</v>
      </c>
      <c r="M42">
        <v>625.61188401723814</v>
      </c>
      <c r="N42">
        <v>112.01746868616311</v>
      </c>
      <c r="O42">
        <f>M42/N42</f>
        <v>5.5849493061658197</v>
      </c>
      <c r="P42">
        <f>TDIST(ABS(O42),$M$37,2)</f>
        <v>1.6395518215612888E-4</v>
      </c>
      <c r="Q42">
        <f>M42-TINV(Q$34,$M$37)*N42</f>
        <v>379.06309776796331</v>
      </c>
      <c r="R42">
        <f>M42+TINV(Q$34,$M$37)*N42</f>
        <v>872.16067026651297</v>
      </c>
      <c r="S42">
        <f>[2]!VIF(F28:I43,1)</f>
        <v>1.1405086249297356</v>
      </c>
    </row>
    <row r="43" spans="6:19" x14ac:dyDescent="0.35">
      <c r="F43" s="12">
        <v>40</v>
      </c>
      <c r="G43" s="13">
        <v>0</v>
      </c>
      <c r="H43" s="13">
        <v>1</v>
      </c>
      <c r="I43" s="13">
        <v>-1</v>
      </c>
      <c r="J43" s="14">
        <v>31000</v>
      </c>
      <c r="L43" t="str">
        <v>Party 1</v>
      </c>
      <c r="M43">
        <v>8682.5382419378329</v>
      </c>
      <c r="N43">
        <v>1728.1785713815102</v>
      </c>
      <c r="O43">
        <f>M43/N43</f>
        <v>5.0240978482894798</v>
      </c>
      <c r="P43">
        <f>TDIST(ABS(O43),$M$37,2)</f>
        <v>3.875358751520777E-4</v>
      </c>
      <c r="Q43">
        <f>M43-TINV(Q$34,$M$37)*N43</f>
        <v>4878.8428523387611</v>
      </c>
      <c r="R43">
        <f>M43+TINV(Q$34,$M$37)*N43</f>
        <v>12486.233631536905</v>
      </c>
      <c r="S43">
        <f>[2]!VIF(F28:I43,2)</f>
        <v>1.4862135729494135</v>
      </c>
    </row>
    <row r="44" spans="6:19" x14ac:dyDescent="0.35">
      <c r="L44" t="str">
        <v>Party 2</v>
      </c>
      <c r="M44">
        <v>-6911.9749052734569</v>
      </c>
      <c r="N44">
        <v>1803.2673842188542</v>
      </c>
      <c r="O44">
        <f>M44/N44</f>
        <v>-3.8330282939529852</v>
      </c>
      <c r="P44">
        <f>TDIST(ABS(O44),$M$37,2)</f>
        <v>2.7798129389449118E-3</v>
      </c>
      <c r="Q44">
        <f>M44-TINV(Q$34,$M$37)*N44</f>
        <v>-10880.939657616422</v>
      </c>
      <c r="R44">
        <f>M44+TINV(Q$34,$M$37)*N44</f>
        <v>-2943.010152930492</v>
      </c>
      <c r="S44">
        <f>[2]!VIF(F28:I43,3)</f>
        <v>1.6181703786871351</v>
      </c>
    </row>
    <row r="45" spans="6:19" x14ac:dyDescent="0.35">
      <c r="L45" s="9" t="str">
        <v>Gender 1</v>
      </c>
      <c r="M45" s="9">
        <v>6838.7607543251488</v>
      </c>
      <c r="N45" s="9">
        <v>1192.3933537404498</v>
      </c>
      <c r="O45" s="9">
        <f>M45/N45</f>
        <v>5.7353227715270823</v>
      </c>
      <c r="P45" s="9">
        <f>TDIST(ABS(O45),$M$37,2)</f>
        <v>1.3117399625872423E-4</v>
      </c>
      <c r="Q45" s="9">
        <f>M45-TINV(Q$34,$M$37)*N45</f>
        <v>4214.3206777505193</v>
      </c>
      <c r="R45" s="9">
        <f>M45+TINV(Q$34,$M$37)*N45</f>
        <v>9463.2008308997792</v>
      </c>
      <c r="S45" s="9">
        <f>[2]!VIF(F28:I43,4)</f>
        <v>1.0350110861282869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2026-01-10T11:11:44Z</dcterms:created>
  <dcterms:modified xsi:type="dcterms:W3CDTF">2026-01-10T11:13:58Z</dcterms:modified>
</cp:coreProperties>
</file>