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12" documentId="8_{B7AB17F1-2C14-4A17-8327-5E4DE5953023}" xr6:coauthVersionLast="47" xr6:coauthVersionMax="47" xr10:uidLastSave="{CE6C3934-3D35-4262-90F8-8D322EEAF5DB}"/>
  <bookViews>
    <workbookView xWindow="-110" yWindow="-110" windowWidth="19420" windowHeight="10300" xr2:uid="{A8B0121E-1F54-44A7-80B7-2120877E0A61}"/>
  </bookViews>
  <sheets>
    <sheet name="Title" sheetId="1" r:id="rId1"/>
    <sheet name="Examples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3" i="4" l="1" a="1"/>
  <c r="P43" i="4" s="1"/>
  <c r="K43" i="4" a="1"/>
  <c r="K43" i="4" s="1"/>
  <c r="G43" i="4" a="1"/>
  <c r="G43" i="4" s="1"/>
  <c r="B43" i="4" a="1"/>
  <c r="B43" i="4" s="1"/>
  <c r="G35" i="4" a="1"/>
  <c r="G35" i="4" s="1"/>
  <c r="E35" i="4" a="1"/>
  <c r="E35" i="4" s="1"/>
  <c r="N20" i="4"/>
  <c r="N19" i="4"/>
  <c r="U18" i="4" a="1"/>
  <c r="U20" i="4" s="1"/>
  <c r="Q18" i="4" a="1"/>
  <c r="Q18" i="4" s="1"/>
  <c r="N18" i="4"/>
  <c r="H17" i="4" a="1"/>
  <c r="I19" i="4" s="1"/>
  <c r="W12" i="4"/>
  <c r="T12" i="4"/>
  <c r="Q11" i="4"/>
  <c r="Q10" i="4"/>
  <c r="W8" i="4"/>
  <c r="T8" i="4"/>
  <c r="Q4" i="4"/>
  <c r="Q3" i="4"/>
  <c r="H20" i="4" l="1"/>
  <c r="I20" i="4"/>
  <c r="H17" i="4"/>
  <c r="I12" i="4" s="1"/>
  <c r="I18" i="4"/>
  <c r="U21" i="4"/>
  <c r="U18" i="4"/>
  <c r="I17" i="4"/>
  <c r="U19" i="4"/>
  <c r="H18" i="4"/>
  <c r="H19" i="4"/>
  <c r="W15" i="4" l="1"/>
  <c r="W14" i="4"/>
  <c r="W10" i="4"/>
  <c r="T15" i="4"/>
  <c r="T14" i="4"/>
  <c r="T13" i="4"/>
  <c r="T10" i="4"/>
  <c r="T9" i="4"/>
  <c r="T4" i="4"/>
  <c r="T3" i="4"/>
  <c r="Q13" i="4"/>
  <c r="Q6" i="4"/>
  <c r="J18" i="4"/>
  <c r="K18" i="4" s="1"/>
  <c r="L18" i="4"/>
  <c r="M18" i="4"/>
  <c r="J19" i="4"/>
  <c r="K19" i="4" s="1"/>
  <c r="L19" i="4"/>
  <c r="M19" i="4"/>
  <c r="J20" i="4"/>
  <c r="K20" i="4" s="1"/>
  <c r="L20" i="4"/>
  <c r="M20" i="4"/>
  <c r="M17" i="4"/>
  <c r="L17" i="4"/>
  <c r="J17" i="4"/>
  <c r="K17" i="4" s="1"/>
  <c r="G18" i="4" a="1"/>
  <c r="G18" i="4"/>
  <c r="G19" i="4"/>
  <c r="G20" i="4"/>
  <c r="I14" i="4"/>
  <c r="H14" i="4"/>
  <c r="H13" i="4"/>
  <c r="H12" i="4"/>
  <c r="H8" i="4"/>
  <c r="J12" i="4" l="1"/>
  <c r="I13" i="4"/>
  <c r="K4" i="4" s="1"/>
  <c r="K5" i="4" s="1"/>
  <c r="H5" i="4"/>
  <c r="H6" i="4" s="1"/>
  <c r="H4" i="4" l="1"/>
  <c r="J13" i="4"/>
  <c r="H7" i="4" s="1"/>
  <c r="K6" i="4"/>
  <c r="K12" i="4" l="1"/>
  <c r="L12" i="4" s="1"/>
  <c r="M12" i="4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<sst xmlns="http://schemas.openxmlformats.org/spreadsheetml/2006/main" count="122" uniqueCount="64">
  <si>
    <t>obs</t>
  </si>
  <si>
    <t>age</t>
  </si>
  <si>
    <t>gender</t>
  </si>
  <si>
    <t>weight</t>
  </si>
  <si>
    <t>chol</t>
  </si>
  <si>
    <t>Regression Analysis</t>
  </si>
  <si>
    <t>OVERALL FIT</t>
  </si>
  <si>
    <t>Multiple R</t>
  </si>
  <si>
    <t>R Square</t>
  </si>
  <si>
    <t>Adjusted R Square</t>
  </si>
  <si>
    <t>Standard Error</t>
  </si>
  <si>
    <t>Observations</t>
  </si>
  <si>
    <t>AIC</t>
  </si>
  <si>
    <t>AICc</t>
  </si>
  <si>
    <t>SBC</t>
  </si>
  <si>
    <t>ANOVA</t>
  </si>
  <si>
    <t>Alpha</t>
  </si>
  <si>
    <t>df</t>
  </si>
  <si>
    <t>SS</t>
  </si>
  <si>
    <t>MS</t>
  </si>
  <si>
    <t>F</t>
  </si>
  <si>
    <t>p-value</t>
  </si>
  <si>
    <t>sig</t>
  </si>
  <si>
    <t>Regression</t>
  </si>
  <si>
    <t>Residual</t>
  </si>
  <si>
    <t>Total</t>
  </si>
  <si>
    <t>coeff</t>
  </si>
  <si>
    <t>std err</t>
  </si>
  <si>
    <t>t stat</t>
  </si>
  <si>
    <t>lower</t>
  </si>
  <si>
    <t>upper</t>
  </si>
  <si>
    <t>vif</t>
  </si>
  <si>
    <t>Intercept</t>
  </si>
  <si>
    <t>Shapiro-Wilk Test</t>
  </si>
  <si>
    <t>W-stat</t>
  </si>
  <si>
    <t>alpha</t>
  </si>
  <si>
    <t>normal</t>
  </si>
  <si>
    <t>d'Agostino-Pearson</t>
  </si>
  <si>
    <t>DA-stat</t>
  </si>
  <si>
    <t>Heteroskedascity Testing</t>
  </si>
  <si>
    <t>Sample size</t>
  </si>
  <si>
    <t>Indep var</t>
  </si>
  <si>
    <t>Breusch-Pagan</t>
  </si>
  <si>
    <t>LM stat</t>
  </si>
  <si>
    <t>F stat</t>
  </si>
  <si>
    <t>df1</t>
  </si>
  <si>
    <t>df2</t>
  </si>
  <si>
    <t>White Test</t>
  </si>
  <si>
    <t>=RegCIBoot(B2:D21,E2:E21)</t>
  </si>
  <si>
    <t>=RegCIBootRes(B2:D21,E2:E21)</t>
  </si>
  <si>
    <t>=RegCovBoot(B2:D21,E2:E21)</t>
  </si>
  <si>
    <t>=RegCovBootRes(B2:D21,E2:E21)</t>
  </si>
  <si>
    <t>=RegCov(B2:D21,E2:E21)</t>
  </si>
  <si>
    <t>pred chol</t>
  </si>
  <si>
    <t>Prediction Interval</t>
  </si>
  <si>
    <t>Confidence Interval</t>
  </si>
  <si>
    <t>Real Statistics Using Excel</t>
  </si>
  <si>
    <t>Updated</t>
  </si>
  <si>
    <t>Copyright © 2013 - 2025 Charles Zaiontz</t>
  </si>
  <si>
    <t>Bootstrapping Regression Support</t>
  </si>
  <si>
    <t>=RegPredBoot(B35:D38,B2:D21,E2:E21)</t>
  </si>
  <si>
    <t>=RegPredBootRes(B35:D38,B2:D21,E2:E21)</t>
  </si>
  <si>
    <t>=RegPredBoot(B35:D38,B2:D21,E2:E21,,,,FALSE)</t>
  </si>
  <si>
    <t>=RegPredBootRes(B35:D38,B2:D21,E2:E21,,,FALSE)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</si>
</sst>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 applyAlignment="1">
      <alignment horizontal="right"/>
    </xf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quotePrefix="1"/>
    <xf numFmtId="0" fontId="0" fillId="0" borderId="0" xfId="0" quotePrefix="1" applyAlignment="1">
      <alignment horizontal="left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" xfId="0" applyBorder="1" applyAlignment="1">
      <alignment horizontal="center"/>
    </xf>
    <xf numFmtId="15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0C20A-14BA-4030-B87D-9D360173F7BA}">
  <sheetPr codeName="Sheet1"/>
  <dimension ref="A1:B6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2" x14ac:dyDescent="0.35">
      <c r="A1" t="s">
        <v>56</v>
      </c>
    </row>
    <row r="2" spans="1:2" x14ac:dyDescent="0.35">
      <c r="A2" t="s">
        <v>59</v>
      </c>
    </row>
    <row r="4" spans="1:2" x14ac:dyDescent="0.35">
      <c r="A4" t="s">
        <v>57</v>
      </c>
      <c r="B4" s="22">
        <v>46011</v>
      </c>
    </row>
    <row r="6" spans="1:2" x14ac:dyDescent="0.35">
      <c r="A6" s="23" t="s">
        <v>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CAC7B-DB3C-4B05-88BE-F63B42E0741E}">
  <sheetPr codeName="Sheet4"/>
  <dimension ref="A1:W58"/>
  <sheetViews>
    <sheetView workbookViewId="0"/>
  </sheetViews>
  <sheetFormatPr defaultRowHeight="14.5" x14ac:dyDescent="0.35"/>
  <cols>
    <col min="1" max="1" width="6.81640625" customWidth="1"/>
    <col min="7" max="7" width="15.7265625" customWidth="1"/>
    <col min="16" max="16" width="8.7265625" customWidth="1"/>
  </cols>
  <sheetData>
    <row r="1" spans="1:23" x14ac:dyDescent="0.35">
      <c r="A1" s="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G1" t="s">
        <v>5</v>
      </c>
      <c r="P1" t="s">
        <v>33</v>
      </c>
      <c r="S1" t="s">
        <v>39</v>
      </c>
    </row>
    <row r="2" spans="1:23" x14ac:dyDescent="0.35">
      <c r="A2">
        <v>206</v>
      </c>
      <c r="B2" s="4">
        <v>68</v>
      </c>
      <c r="C2" s="4">
        <v>0</v>
      </c>
      <c r="D2" s="4">
        <v>130</v>
      </c>
      <c r="E2" s="4">
        <v>207</v>
      </c>
    </row>
    <row r="3" spans="1:23" ht="15" thickBot="1" x14ac:dyDescent="0.4">
      <c r="A3">
        <v>119</v>
      </c>
      <c r="B3" s="4">
        <v>50</v>
      </c>
      <c r="C3" s="4">
        <v>0</v>
      </c>
      <c r="D3" s="4">
        <v>263</v>
      </c>
      <c r="E3" s="4">
        <v>174</v>
      </c>
      <c r="G3" s="3" t="s">
        <v>6</v>
      </c>
      <c r="H3" s="3"/>
      <c r="J3" s="3"/>
      <c r="K3" s="3"/>
      <c r="P3" s="6" t="s">
        <v>34</v>
      </c>
      <c r="Q3" s="6" t="e">
        <f ca="1">SHAPIRO(RegE(B2:D21,E2:E21))</f>
        <v>#NAME?</v>
      </c>
      <c r="S3" t="s">
        <v>40</v>
      </c>
      <c r="T3" s="7">
        <f>COUNT(E2:E21)</f>
        <v>20</v>
      </c>
    </row>
    <row r="4" spans="1:23" ht="15" thickTop="1" x14ac:dyDescent="0.35">
      <c r="A4">
        <v>5</v>
      </c>
      <c r="B4" s="4">
        <v>64</v>
      </c>
      <c r="C4" s="4">
        <v>0</v>
      </c>
      <c r="D4" s="4">
        <v>183</v>
      </c>
      <c r="E4" s="4">
        <v>249</v>
      </c>
      <c r="G4" t="s">
        <v>7</v>
      </c>
      <c r="H4" t="e">
        <f ca="1">SQRT(H5)</f>
        <v>#NAME?</v>
      </c>
      <c r="J4" t="s">
        <v>12</v>
      </c>
      <c r="K4" t="e">
        <f ca="1">H8*LN(I13/H8)+2*(H12+1)</f>
        <v>#NAME?</v>
      </c>
      <c r="P4" t="s">
        <v>21</v>
      </c>
      <c r="Q4" t="e">
        <f ca="1">SWTEST(RegE(B2:D21,E2:E21))</f>
        <v>#NAME?</v>
      </c>
      <c r="S4" t="s">
        <v>41</v>
      </c>
      <c r="T4" s="8">
        <f>COLUMNS(B2:D21)</f>
        <v>3</v>
      </c>
    </row>
    <row r="5" spans="1:23" x14ac:dyDescent="0.35">
      <c r="A5">
        <v>179</v>
      </c>
      <c r="B5" s="4">
        <v>58</v>
      </c>
      <c r="C5" s="4">
        <v>0</v>
      </c>
      <c r="D5" s="4">
        <v>215</v>
      </c>
      <c r="E5" s="4">
        <v>201</v>
      </c>
      <c r="G5" t="s">
        <v>8</v>
      </c>
      <c r="H5" t="e">
        <f ca="1">I12/I14</f>
        <v>#NAME?</v>
      </c>
      <c r="J5" t="s">
        <v>13</v>
      </c>
      <c r="K5" t="e">
        <f ca="1">K4+2*(H12+2)*(H12+3)/(H8-H12-3)</f>
        <v>#NAME?</v>
      </c>
      <c r="P5" t="s">
        <v>35</v>
      </c>
      <c r="Q5">
        <v>0.05</v>
      </c>
    </row>
    <row r="6" spans="1:23" x14ac:dyDescent="0.35">
      <c r="A6">
        <v>396</v>
      </c>
      <c r="B6" s="4">
        <v>37</v>
      </c>
      <c r="C6" s="4">
        <v>0</v>
      </c>
      <c r="D6" s="4">
        <v>136</v>
      </c>
      <c r="E6" s="4">
        <v>179</v>
      </c>
      <c r="G6" t="s">
        <v>9</v>
      </c>
      <c r="H6" t="e">
        <f ca="1">1-(1-H5)*(H8-1)/(H8-H12-1)</f>
        <v>#NAME?</v>
      </c>
      <c r="J6" s="2" t="s">
        <v>14</v>
      </c>
      <c r="K6" s="2" t="e">
        <f ca="1">H8*LN(I13/H8)+(H12+1)*LN(H8)</f>
        <v>#NAME?</v>
      </c>
      <c r="P6" s="2" t="s">
        <v>36</v>
      </c>
      <c r="Q6" s="1" t="e">
        <f ca="1">IF(Q4&lt;Q5,"no","yes")</f>
        <v>#NAME?</v>
      </c>
      <c r="S6" t="s">
        <v>42</v>
      </c>
      <c r="V6" t="s">
        <v>47</v>
      </c>
    </row>
    <row r="7" spans="1:23" x14ac:dyDescent="0.35">
      <c r="A7">
        <v>76</v>
      </c>
      <c r="B7" s="4">
        <v>76</v>
      </c>
      <c r="C7" s="4">
        <v>1</v>
      </c>
      <c r="D7" s="4">
        <v>143</v>
      </c>
      <c r="E7" s="4">
        <v>209</v>
      </c>
      <c r="G7" t="s">
        <v>10</v>
      </c>
      <c r="H7" t="e">
        <f ca="1">SQRT(J13)</f>
        <v>#NAME?</v>
      </c>
    </row>
    <row r="8" spans="1:23" x14ac:dyDescent="0.35">
      <c r="A8">
        <v>402</v>
      </c>
      <c r="B8" s="4">
        <v>41</v>
      </c>
      <c r="C8" s="4">
        <v>1</v>
      </c>
      <c r="D8" s="4">
        <v>197</v>
      </c>
      <c r="E8" s="4">
        <v>199</v>
      </c>
      <c r="G8" s="2" t="s">
        <v>11</v>
      </c>
      <c r="H8" s="2">
        <f>COUNT(E2:E21)</f>
        <v>20</v>
      </c>
      <c r="P8" t="s">
        <v>37</v>
      </c>
      <c r="S8" t="s">
        <v>43</v>
      </c>
      <c r="T8" s="7" t="e">
        <f ca="1">BPagStat(B2:D21,E2:E21)</f>
        <v>#NAME?</v>
      </c>
      <c r="V8" t="s">
        <v>43</v>
      </c>
      <c r="W8" s="7" t="e">
        <f ca="1">WhiteStat(B2:D21,E2:E21)</f>
        <v>#NAME?</v>
      </c>
    </row>
    <row r="9" spans="1:23" x14ac:dyDescent="0.35">
      <c r="A9">
        <v>198</v>
      </c>
      <c r="B9" s="4">
        <v>62</v>
      </c>
      <c r="C9" s="4">
        <v>0</v>
      </c>
      <c r="D9" s="4">
        <v>251</v>
      </c>
      <c r="E9" s="4">
        <v>169</v>
      </c>
      <c r="S9" t="s">
        <v>17</v>
      </c>
      <c r="T9" s="9">
        <f>T4</f>
        <v>3</v>
      </c>
      <c r="V9" t="s">
        <v>17</v>
      </c>
      <c r="W9" s="9">
        <v>2</v>
      </c>
    </row>
    <row r="10" spans="1:23" ht="15" thickBot="1" x14ac:dyDescent="0.4">
      <c r="A10">
        <v>37</v>
      </c>
      <c r="B10" s="4">
        <v>35</v>
      </c>
      <c r="C10" s="4">
        <v>0</v>
      </c>
      <c r="D10" s="4">
        <v>159</v>
      </c>
      <c r="E10" s="4">
        <v>194</v>
      </c>
      <c r="G10" t="s">
        <v>15</v>
      </c>
      <c r="K10" s="4" t="s">
        <v>16</v>
      </c>
      <c r="L10" s="4">
        <v>0.05</v>
      </c>
      <c r="P10" s="6" t="s">
        <v>38</v>
      </c>
      <c r="Q10" s="6" t="e">
        <f ca="1">DAGOSTINO(RegE(B2:D21,E2:E21))</f>
        <v>#NAME?</v>
      </c>
      <c r="S10" t="s">
        <v>21</v>
      </c>
      <c r="T10" s="8" t="e">
        <f ca="1">_xlfn.CHISQ.DIST.RT(T8,T9)</f>
        <v>#NAME?</v>
      </c>
      <c r="V10" t="s">
        <v>21</v>
      </c>
      <c r="W10" s="8" t="e">
        <f ca="1">_xlfn.CHISQ.DIST.RT(W8,W9)</f>
        <v>#NAME?</v>
      </c>
    </row>
    <row r="11" spans="1:23" ht="15" thickTop="1" x14ac:dyDescent="0.35">
      <c r="A11">
        <v>251</v>
      </c>
      <c r="B11" s="4">
        <v>19</v>
      </c>
      <c r="C11" s="4">
        <v>1</v>
      </c>
      <c r="D11" s="4">
        <v>135</v>
      </c>
      <c r="E11" s="4">
        <v>146</v>
      </c>
      <c r="G11" s="5"/>
      <c r="H11" s="5" t="s">
        <v>17</v>
      </c>
      <c r="I11" s="5" t="s">
        <v>18</v>
      </c>
      <c r="J11" s="5" t="s">
        <v>19</v>
      </c>
      <c r="K11" s="5" t="s">
        <v>20</v>
      </c>
      <c r="L11" s="5" t="s">
        <v>21</v>
      </c>
      <c r="M11" s="5" t="s">
        <v>22</v>
      </c>
      <c r="P11" t="s">
        <v>21</v>
      </c>
      <c r="Q11" t="e">
        <f ca="1">DPTEST(RegE(B2:D21,E2:E21))</f>
        <v>#NAME?</v>
      </c>
    </row>
    <row r="12" spans="1:23" x14ac:dyDescent="0.35">
      <c r="A12">
        <v>96</v>
      </c>
      <c r="B12" s="4">
        <v>21</v>
      </c>
      <c r="C12" s="4">
        <v>1</v>
      </c>
      <c r="D12" s="4">
        <v>142</v>
      </c>
      <c r="E12" s="4">
        <v>203</v>
      </c>
      <c r="G12" t="s">
        <v>23</v>
      </c>
      <c r="H12">
        <f>COUNT(B2:D2)</f>
        <v>3</v>
      </c>
      <c r="I12" t="e">
        <f ca="1">DEVSQ(MMULT(DEsign(B2:D21),H17:H20))</f>
        <v>#NAME?</v>
      </c>
      <c r="J12" t="e">
        <f ca="1">I12/H12</f>
        <v>#NAME?</v>
      </c>
      <c r="K12" t="e">
        <f ca="1">J12/J13</f>
        <v>#NAME?</v>
      </c>
      <c r="L12" t="e">
        <f ca="1">_xlfn.F.DIST.RT(K12,H12,H13)</f>
        <v>#NAME?</v>
      </c>
      <c r="M12" s="4" t="e">
        <f ca="1">IF(L12&lt;L10,"yes","no")</f>
        <v>#NAME?</v>
      </c>
      <c r="P12" t="s">
        <v>35</v>
      </c>
      <c r="Q12">
        <v>0.05</v>
      </c>
      <c r="S12" t="s">
        <v>44</v>
      </c>
      <c r="T12" s="7" t="e">
        <f ca="1">BPagStat(B2:D21,E2:E21,FALSE)</f>
        <v>#NAME?</v>
      </c>
      <c r="V12" t="s">
        <v>44</v>
      </c>
      <c r="W12" s="7" t="e">
        <f ca="1">WhiteStat(B2:D21,E2:E21,FALSE)</f>
        <v>#NAME?</v>
      </c>
    </row>
    <row r="13" spans="1:23" x14ac:dyDescent="0.35">
      <c r="A13">
        <v>199</v>
      </c>
      <c r="B13" s="4">
        <v>63</v>
      </c>
      <c r="C13" s="4">
        <v>1</v>
      </c>
      <c r="D13" s="4">
        <v>200</v>
      </c>
      <c r="E13" s="4">
        <v>283</v>
      </c>
      <c r="G13" t="s">
        <v>24</v>
      </c>
      <c r="H13">
        <f>H14-H12</f>
        <v>16</v>
      </c>
      <c r="I13" t="e">
        <f ca="1">I14-I12</f>
        <v>#NAME?</v>
      </c>
      <c r="J13" t="e">
        <f ca="1">I13/H13</f>
        <v>#NAME?</v>
      </c>
      <c r="P13" s="2" t="s">
        <v>36</v>
      </c>
      <c r="Q13" s="1" t="e">
        <f ca="1">IF(Q11&lt;Q12,"no","yes")</f>
        <v>#NAME?</v>
      </c>
      <c r="S13" t="s">
        <v>45</v>
      </c>
      <c r="T13" s="9">
        <f>T4</f>
        <v>3</v>
      </c>
      <c r="V13" t="s">
        <v>45</v>
      </c>
      <c r="W13" s="9">
        <v>2</v>
      </c>
    </row>
    <row r="14" spans="1:23" x14ac:dyDescent="0.35">
      <c r="A14">
        <v>173</v>
      </c>
      <c r="B14" s="4">
        <v>71</v>
      </c>
      <c r="C14" s="4">
        <v>0</v>
      </c>
      <c r="D14" s="4">
        <v>171</v>
      </c>
      <c r="E14" s="4">
        <v>199</v>
      </c>
      <c r="G14" s="2" t="s">
        <v>25</v>
      </c>
      <c r="H14" s="2">
        <f>H8-1</f>
        <v>19</v>
      </c>
      <c r="I14" s="2">
        <f>DEVSQ(E2:E21)</f>
        <v>24991.8</v>
      </c>
      <c r="J14" s="2"/>
      <c r="K14" s="2"/>
      <c r="L14" s="2"/>
      <c r="M14" s="2"/>
      <c r="S14" t="s">
        <v>46</v>
      </c>
      <c r="T14" s="9">
        <f>T3-T4-1</f>
        <v>16</v>
      </c>
      <c r="V14" t="s">
        <v>46</v>
      </c>
      <c r="W14" s="9">
        <f>T3-3</f>
        <v>17</v>
      </c>
    </row>
    <row r="15" spans="1:23" ht="15" thickBot="1" x14ac:dyDescent="0.4">
      <c r="A15">
        <v>173</v>
      </c>
      <c r="B15" s="4">
        <v>71</v>
      </c>
      <c r="C15" s="4">
        <v>0</v>
      </c>
      <c r="D15" s="4">
        <v>171</v>
      </c>
      <c r="E15" s="4">
        <v>199</v>
      </c>
      <c r="S15" t="s">
        <v>21</v>
      </c>
      <c r="T15" s="8" t="e">
        <f ca="1">_xlfn.F.DIST.RT(T12,T13,T14)</f>
        <v>#NAME?</v>
      </c>
      <c r="V15" t="s">
        <v>21</v>
      </c>
      <c r="W15" s="8" t="e">
        <f ca="1">_xlfn.F.DIST.RT(W12,W13,W14)</f>
        <v>#NAME?</v>
      </c>
    </row>
    <row r="16" spans="1:23" ht="15" thickTop="1" x14ac:dyDescent="0.35">
      <c r="A16">
        <v>10</v>
      </c>
      <c r="B16" s="4">
        <v>55</v>
      </c>
      <c r="C16" s="4">
        <v>1</v>
      </c>
      <c r="D16" s="4">
        <v>202</v>
      </c>
      <c r="E16" s="4">
        <v>263</v>
      </c>
      <c r="G16" s="5"/>
      <c r="H16" s="5" t="s">
        <v>26</v>
      </c>
      <c r="I16" s="5" t="s">
        <v>27</v>
      </c>
      <c r="J16" s="5" t="s">
        <v>28</v>
      </c>
      <c r="K16" s="5" t="s">
        <v>21</v>
      </c>
      <c r="L16" s="5" t="s">
        <v>29</v>
      </c>
      <c r="M16" s="5" t="s">
        <v>30</v>
      </c>
      <c r="N16" s="5" t="s">
        <v>31</v>
      </c>
    </row>
    <row r="17" spans="1:21" x14ac:dyDescent="0.35">
      <c r="A17">
        <v>208</v>
      </c>
      <c r="B17" s="4">
        <v>64</v>
      </c>
      <c r="C17" s="4">
        <v>1</v>
      </c>
      <c r="D17" s="4">
        <v>167</v>
      </c>
      <c r="E17" s="4">
        <v>202</v>
      </c>
      <c r="G17" t="s">
        <v>32</v>
      </c>
      <c r="H17" t="e">
        <f t="array" aca="1" ref="H17:I20" ca="1">RegCoeff(B2:D21,E2:E21)</f>
        <v>#NAME?</v>
      </c>
      <c r="I17" t="e">
        <f ca="1"/>
        <v>#NAME?</v>
      </c>
      <c r="J17" t="e">
        <f ca="1">H17/I17</f>
        <v>#NAME?</v>
      </c>
      <c r="K17" t="e">
        <f ca="1">_xlfn.T.DIST.2T(ABS(J17),$H$13)</f>
        <v>#NAME?</v>
      </c>
      <c r="L17" t="e">
        <f ca="1">H17-_xlfn.T.INV.2T(L$10,$H$13)*I17</f>
        <v>#NAME?</v>
      </c>
      <c r="M17" t="e">
        <f ca="1">H17+_xlfn.T.INV.2T(L$10,$H$13)*I17</f>
        <v>#NAME?</v>
      </c>
      <c r="Q17" s="10" t="s">
        <v>52</v>
      </c>
    </row>
    <row r="18" spans="1:21" x14ac:dyDescent="0.35">
      <c r="A18">
        <v>10</v>
      </c>
      <c r="B18" s="4">
        <v>55</v>
      </c>
      <c r="C18" s="4">
        <v>1</v>
      </c>
      <c r="D18" s="4">
        <v>202</v>
      </c>
      <c r="E18" s="4">
        <v>263</v>
      </c>
      <c r="G18" t="str">
        <f t="array" ref="G18:G20">TRANSPOSE(B1:D1)</f>
        <v>age</v>
      </c>
      <c r="H18" t="e">
        <f ca="1"/>
        <v>#NAME?</v>
      </c>
      <c r="I18" t="e">
        <f ca="1"/>
        <v>#NAME?</v>
      </c>
      <c r="J18" t="e">
        <f t="shared" ref="J18:J20" ca="1" si="0">H18/I18</f>
        <v>#NAME?</v>
      </c>
      <c r="K18" t="e">
        <f t="shared" ref="K18:K20" ca="1" si="1">_xlfn.T.DIST.2T(ABS(J18),$H$13)</f>
        <v>#NAME?</v>
      </c>
      <c r="L18" t="e">
        <f t="shared" ref="L18:L20" ca="1" si="2">H18-_xlfn.T.INV.2T(L$10,$H$13)*I18</f>
        <v>#NAME?</v>
      </c>
      <c r="M18" t="e">
        <f t="shared" ref="M18:M20" ca="1" si="3">H18+_xlfn.T.INV.2T(L$10,$H$13)*I18</f>
        <v>#NAME?</v>
      </c>
      <c r="N18" t="e">
        <f ca="1">VIF(B2:D21,1)</f>
        <v>#NAME?</v>
      </c>
      <c r="Q18" s="12" t="e" cm="1">
        <f t="array" aca="1" ref="Q18" ca="1">RegCov(B2:D21,E2:E21)</f>
        <v>#NAME?</v>
      </c>
      <c r="R18" s="6"/>
      <c r="S18" s="6"/>
      <c r="T18" s="13"/>
      <c r="U18" s="18" t="e">
        <f t="array" aca="1" ref="U18:U21" ca="1">SQRT(DIAG(Q18:T21))</f>
        <v>#NAME?</v>
      </c>
    </row>
    <row r="19" spans="1:21" x14ac:dyDescent="0.35">
      <c r="A19">
        <v>23</v>
      </c>
      <c r="B19" s="4">
        <v>38</v>
      </c>
      <c r="C19" s="4">
        <v>1</v>
      </c>
      <c r="D19" s="4">
        <v>288</v>
      </c>
      <c r="E19" s="4">
        <v>203</v>
      </c>
      <c r="G19" t="str">
        <v>gender</v>
      </c>
      <c r="H19" t="e">
        <f ca="1"/>
        <v>#NAME?</v>
      </c>
      <c r="I19" t="e">
        <f ca="1"/>
        <v>#NAME?</v>
      </c>
      <c r="J19" t="e">
        <f t="shared" ca="1" si="0"/>
        <v>#NAME?</v>
      </c>
      <c r="K19" t="e">
        <f t="shared" ca="1" si="1"/>
        <v>#NAME?</v>
      </c>
      <c r="L19" t="e">
        <f t="shared" ca="1" si="2"/>
        <v>#NAME?</v>
      </c>
      <c r="M19" t="e">
        <f t="shared" ca="1" si="3"/>
        <v>#NAME?</v>
      </c>
      <c r="N19" t="e">
        <f ca="1">VIF(B2:D21,2)</f>
        <v>#NAME?</v>
      </c>
      <c r="Q19" s="14"/>
      <c r="T19" s="15"/>
      <c r="U19" s="19" t="e">
        <f ca="1"/>
        <v>#NAME?</v>
      </c>
    </row>
    <row r="20" spans="1:21" x14ac:dyDescent="0.35">
      <c r="A20">
        <v>309</v>
      </c>
      <c r="B20" s="4">
        <v>38</v>
      </c>
      <c r="C20" s="4">
        <v>1</v>
      </c>
      <c r="D20" s="4">
        <v>248</v>
      </c>
      <c r="E20" s="4">
        <v>251</v>
      </c>
      <c r="G20" s="2" t="str">
        <v>weight</v>
      </c>
      <c r="H20" s="2" t="e">
        <f ca="1"/>
        <v>#NAME?</v>
      </c>
      <c r="I20" s="2" t="e">
        <f ca="1"/>
        <v>#NAME?</v>
      </c>
      <c r="J20" s="2" t="e">
        <f t="shared" ca="1" si="0"/>
        <v>#NAME?</v>
      </c>
      <c r="K20" s="2" t="e">
        <f t="shared" ca="1" si="1"/>
        <v>#NAME?</v>
      </c>
      <c r="L20" s="2" t="e">
        <f t="shared" ca="1" si="2"/>
        <v>#NAME?</v>
      </c>
      <c r="M20" s="2" t="e">
        <f t="shared" ca="1" si="3"/>
        <v>#NAME?</v>
      </c>
      <c r="N20" s="2" t="e">
        <f ca="1">VIF(B2:D21,3)</f>
        <v>#NAME?</v>
      </c>
      <c r="Q20" s="14"/>
      <c r="T20" s="15"/>
      <c r="U20" s="19" t="e">
        <f ca="1"/>
        <v>#NAME?</v>
      </c>
    </row>
    <row r="21" spans="1:21" ht="15" thickBot="1" x14ac:dyDescent="0.4">
      <c r="A21" s="2">
        <v>2</v>
      </c>
      <c r="B21" s="21">
        <v>29</v>
      </c>
      <c r="C21" s="21">
        <v>1</v>
      </c>
      <c r="D21" s="21">
        <v>218</v>
      </c>
      <c r="E21" s="21">
        <v>165</v>
      </c>
      <c r="Q21" s="16"/>
      <c r="R21" s="2"/>
      <c r="S21" s="2"/>
      <c r="T21" s="17"/>
      <c r="U21" s="20" t="e">
        <f ca="1"/>
        <v>#NAME?</v>
      </c>
    </row>
    <row r="22" spans="1:21" ht="15" thickTop="1" x14ac:dyDescent="0.35">
      <c r="G22" s="5"/>
      <c r="H22" s="5" t="s">
        <v>26</v>
      </c>
      <c r="I22" s="5" t="s">
        <v>27</v>
      </c>
      <c r="J22" s="5" t="s">
        <v>29</v>
      </c>
      <c r="K22" s="5" t="s">
        <v>30</v>
      </c>
      <c r="M22" s="10" t="s">
        <v>48</v>
      </c>
    </row>
    <row r="23" spans="1:21" x14ac:dyDescent="0.35">
      <c r="G23" t="s">
        <v>32</v>
      </c>
      <c r="H23">
        <v>118.38567313110858</v>
      </c>
      <c r="I23">
        <v>41.212222051112263</v>
      </c>
      <c r="J23">
        <v>30.540155729802791</v>
      </c>
      <c r="K23">
        <v>194.88936192585606</v>
      </c>
      <c r="Q23" s="10" t="s">
        <v>50</v>
      </c>
    </row>
    <row r="24" spans="1:21" x14ac:dyDescent="0.35">
      <c r="G24" t="s">
        <v>1</v>
      </c>
      <c r="H24">
        <v>1.1508872668193382</v>
      </c>
      <c r="I24">
        <v>0.519669909464335</v>
      </c>
      <c r="J24">
        <v>0.2280910040675721</v>
      </c>
      <c r="K24">
        <v>2.2956795619085284</v>
      </c>
      <c r="Q24" s="12">
        <v>1773.2059218909121</v>
      </c>
      <c r="R24" s="6">
        <v>-14.654245018608576</v>
      </c>
      <c r="S24" s="6">
        <v>-173.10308207385967</v>
      </c>
      <c r="T24" s="13">
        <v>-4.8821552329421687</v>
      </c>
      <c r="U24" s="18">
        <v>42.109451693069005</v>
      </c>
    </row>
    <row r="25" spans="1:21" x14ac:dyDescent="0.35">
      <c r="G25" t="s">
        <v>2</v>
      </c>
      <c r="H25">
        <v>34.188206529380878</v>
      </c>
      <c r="I25">
        <v>16.988864815825892</v>
      </c>
      <c r="J25">
        <v>1.9095088154711561</v>
      </c>
      <c r="K25">
        <v>69.096863305749025</v>
      </c>
      <c r="Q25" s="14">
        <v>-14.654245018608576</v>
      </c>
      <c r="R25">
        <v>0.27310864857559597</v>
      </c>
      <c r="S25">
        <v>4.3955227947036146</v>
      </c>
      <c r="T25" s="15">
        <v>-6.2804609771483682E-3</v>
      </c>
      <c r="U25" s="19">
        <v>0.52259797988089851</v>
      </c>
    </row>
    <row r="26" spans="1:21" x14ac:dyDescent="0.35">
      <c r="G26" s="2" t="s">
        <v>3</v>
      </c>
      <c r="H26" s="2">
        <v>7.163359896177636E-2</v>
      </c>
      <c r="I26" s="2">
        <v>0.1687720788018571</v>
      </c>
      <c r="J26" s="2">
        <v>-0.2154948568417403</v>
      </c>
      <c r="K26" s="2">
        <v>0.45658192512772544</v>
      </c>
      <c r="Q26" s="14">
        <v>-173.10308207385967</v>
      </c>
      <c r="R26">
        <v>4.3955227947036146</v>
      </c>
      <c r="S26">
        <v>294.84298241966547</v>
      </c>
      <c r="T26" s="15">
        <v>-0.96827183778353054</v>
      </c>
      <c r="U26" s="19">
        <v>17.170992470432964</v>
      </c>
    </row>
    <row r="27" spans="1:21" ht="15" thickBot="1" x14ac:dyDescent="0.4">
      <c r="Q27" s="16">
        <v>-4.8821552329421687</v>
      </c>
      <c r="R27" s="2">
        <v>-6.2804609771483682E-3</v>
      </c>
      <c r="S27" s="2">
        <v>-0.96827183778353054</v>
      </c>
      <c r="T27" s="17">
        <v>3.0607326436423148E-2</v>
      </c>
      <c r="U27" s="20">
        <v>0.17494949681671892</v>
      </c>
    </row>
    <row r="28" spans="1:21" ht="15" thickTop="1" x14ac:dyDescent="0.35">
      <c r="G28" s="5"/>
      <c r="H28" s="5" t="s">
        <v>26</v>
      </c>
      <c r="I28" s="5" t="s">
        <v>27</v>
      </c>
      <c r="J28" s="5" t="s">
        <v>29</v>
      </c>
      <c r="K28" s="5" t="s">
        <v>30</v>
      </c>
      <c r="M28" s="11" t="s">
        <v>49</v>
      </c>
    </row>
    <row r="29" spans="1:21" x14ac:dyDescent="0.35">
      <c r="G29" t="s">
        <v>32</v>
      </c>
      <c r="H29">
        <v>119.02458822917748</v>
      </c>
      <c r="I29">
        <v>37.013760126687949</v>
      </c>
      <c r="J29">
        <v>49.591308065242629</v>
      </c>
      <c r="K29">
        <v>192.14127913698894</v>
      </c>
      <c r="Q29" s="10" t="s">
        <v>51</v>
      </c>
    </row>
    <row r="30" spans="1:21" x14ac:dyDescent="0.35">
      <c r="G30" t="s">
        <v>1</v>
      </c>
      <c r="H30">
        <v>1.1181771661731452</v>
      </c>
      <c r="I30">
        <v>0.39883142445393954</v>
      </c>
      <c r="J30">
        <v>0.34095182978667027</v>
      </c>
      <c r="K30">
        <v>1.9075618418522045</v>
      </c>
      <c r="Q30" s="12">
        <v>1338.693219293265</v>
      </c>
      <c r="R30" s="6">
        <v>-9.2098194207088167</v>
      </c>
      <c r="S30" s="6">
        <v>-177.58837542736427</v>
      </c>
      <c r="T30" s="6">
        <v>-3.856989807914275</v>
      </c>
      <c r="U30" s="18">
        <v>36.588156817381019</v>
      </c>
    </row>
    <row r="31" spans="1:21" x14ac:dyDescent="0.35">
      <c r="G31" t="s">
        <v>2</v>
      </c>
      <c r="H31">
        <v>33.216200245034607</v>
      </c>
      <c r="I31">
        <v>14.063678567545715</v>
      </c>
      <c r="J31">
        <v>4.7147639781930195</v>
      </c>
      <c r="K31">
        <v>59.986022250257236</v>
      </c>
      <c r="Q31" s="14">
        <v>-9.2098194207088167</v>
      </c>
      <c r="R31">
        <v>0.16269752418011535</v>
      </c>
      <c r="S31">
        <v>1.9082401792663677</v>
      </c>
      <c r="T31">
        <v>-2.8690100789330753E-4</v>
      </c>
      <c r="U31" s="19">
        <v>0.40335781160170353</v>
      </c>
    </row>
    <row r="32" spans="1:21" x14ac:dyDescent="0.35">
      <c r="G32" s="2" t="s">
        <v>3</v>
      </c>
      <c r="H32" s="2">
        <v>7.2596830845212609E-2</v>
      </c>
      <c r="I32" s="2">
        <v>0.14553898772118887</v>
      </c>
      <c r="J32" s="2">
        <v>-0.21894008239551255</v>
      </c>
      <c r="K32" s="2">
        <v>0.35739533973525184</v>
      </c>
      <c r="Q32" s="14">
        <v>-177.58837542736427</v>
      </c>
      <c r="R32">
        <v>1.9082401792663677</v>
      </c>
      <c r="S32">
        <v>196.59381844015766</v>
      </c>
      <c r="T32">
        <v>-0.14917007856661713</v>
      </c>
      <c r="U32" s="19">
        <v>14.021191762477171</v>
      </c>
    </row>
    <row r="33" spans="2:21" x14ac:dyDescent="0.35">
      <c r="Q33" s="16">
        <v>-3.856989807914275</v>
      </c>
      <c r="R33" s="2">
        <v>-2.8690100789330753E-4</v>
      </c>
      <c r="S33" s="2">
        <v>-0.14917007856661713</v>
      </c>
      <c r="T33" s="2">
        <v>2.0780026179917133E-2</v>
      </c>
      <c r="U33" s="20">
        <v>0.14415278762451017</v>
      </c>
    </row>
    <row r="34" spans="2:21" x14ac:dyDescent="0.35">
      <c r="B34" s="21" t="s">
        <v>1</v>
      </c>
      <c r="C34" s="21" t="s">
        <v>2</v>
      </c>
      <c r="D34" s="21" t="s">
        <v>3</v>
      </c>
      <c r="E34" s="21" t="s">
        <v>53</v>
      </c>
    </row>
    <row r="35" spans="2:21" x14ac:dyDescent="0.35">
      <c r="B35" s="4">
        <v>68</v>
      </c>
      <c r="C35" s="4">
        <v>0</v>
      </c>
      <c r="D35" s="4">
        <v>130</v>
      </c>
      <c r="E35" s="4" t="e" cm="1">
        <f t="array" aca="1" ref="E35" ca="1">RegPredC(B35:D38,H17:H20)</f>
        <v>#NAME?</v>
      </c>
      <c r="G35" t="e" cm="1">
        <f t="array" aca="1" ref="G35" ca="1">FTEXT(E35)</f>
        <v>#NAME?</v>
      </c>
    </row>
    <row r="36" spans="2:21" x14ac:dyDescent="0.35">
      <c r="B36" s="4">
        <v>68</v>
      </c>
      <c r="C36" s="4">
        <v>1</v>
      </c>
      <c r="D36" s="4">
        <v>130</v>
      </c>
      <c r="E36" s="4"/>
    </row>
    <row r="37" spans="2:21" x14ac:dyDescent="0.35">
      <c r="B37" s="4">
        <v>45</v>
      </c>
      <c r="C37" s="4">
        <v>0</v>
      </c>
      <c r="D37" s="4">
        <v>200</v>
      </c>
      <c r="E37" s="4"/>
    </row>
    <row r="38" spans="2:21" x14ac:dyDescent="0.35">
      <c r="B38" s="21">
        <v>45</v>
      </c>
      <c r="C38" s="21">
        <v>1</v>
      </c>
      <c r="D38" s="21">
        <v>150</v>
      </c>
      <c r="E38" s="21"/>
    </row>
    <row r="40" spans="2:21" x14ac:dyDescent="0.35">
      <c r="B40" t="s">
        <v>54</v>
      </c>
      <c r="K40" t="s">
        <v>55</v>
      </c>
    </row>
    <row r="42" spans="2:21" x14ac:dyDescent="0.35">
      <c r="B42" s="1" t="s">
        <v>53</v>
      </c>
      <c r="C42" s="1" t="s">
        <v>27</v>
      </c>
      <c r="D42" s="1" t="s">
        <v>29</v>
      </c>
      <c r="E42" s="1" t="s">
        <v>30</v>
      </c>
      <c r="K42" s="1" t="s">
        <v>53</v>
      </c>
      <c r="L42" s="1" t="s">
        <v>27</v>
      </c>
      <c r="M42" s="1" t="s">
        <v>29</v>
      </c>
      <c r="N42" s="1" t="s">
        <v>30</v>
      </c>
    </row>
    <row r="43" spans="2:21" x14ac:dyDescent="0.35">
      <c r="B43" t="e" cm="1">
        <f t="array" aca="1" ref="B43" ca="1">RegPredPI(B35:D38,B2:D21,E2:E21)</f>
        <v>#NAME?</v>
      </c>
      <c r="G43" t="e" cm="1">
        <f t="array" aca="1" ref="G43" ca="1">FTEXT(B43)</f>
        <v>#NAME?</v>
      </c>
      <c r="K43" t="e" cm="1">
        <f t="array" aca="1" ref="K43" ca="1">RegPredPI(B35:D38,B2:D21,E2:E21,,FALSE)</f>
        <v>#NAME?</v>
      </c>
      <c r="P43" t="e" cm="1">
        <f t="array" aca="1" ref="P43" ca="1">FTEXT(K43)</f>
        <v>#NAME?</v>
      </c>
    </row>
    <row r="46" spans="2:21" x14ac:dyDescent="0.35">
      <c r="B46" s="1"/>
      <c r="C46" s="1"/>
      <c r="D46" s="1"/>
      <c r="E46" s="1"/>
      <c r="K46" s="1"/>
      <c r="L46" s="1"/>
      <c r="M46" s="1"/>
      <c r="N46" s="1"/>
    </row>
    <row r="48" spans="2:21" x14ac:dyDescent="0.35">
      <c r="B48" s="1" t="s">
        <v>53</v>
      </c>
      <c r="C48" s="1" t="s">
        <v>27</v>
      </c>
      <c r="D48" s="1" t="s">
        <v>29</v>
      </c>
      <c r="E48" s="1" t="s">
        <v>30</v>
      </c>
      <c r="K48" s="1" t="s">
        <v>53</v>
      </c>
      <c r="L48" s="1" t="s">
        <v>27</v>
      </c>
      <c r="M48" s="1" t="s">
        <v>29</v>
      </c>
      <c r="N48" s="1" t="s">
        <v>30</v>
      </c>
    </row>
    <row r="49" spans="2:16" x14ac:dyDescent="0.35">
      <c r="B49">
        <v>205.57394325964384</v>
      </c>
      <c r="C49">
        <v>28.881945497134272</v>
      </c>
      <c r="D49">
        <v>153.13165782858073</v>
      </c>
      <c r="E49">
        <v>259.44630620966143</v>
      </c>
      <c r="G49" s="10" t="s">
        <v>60</v>
      </c>
      <c r="K49">
        <v>205.99810654494797</v>
      </c>
      <c r="L49">
        <v>13.430233085100262</v>
      </c>
      <c r="M49">
        <v>180.09124628557183</v>
      </c>
      <c r="N49">
        <v>234.36655790077316</v>
      </c>
      <c r="P49" s="10" t="s">
        <v>62</v>
      </c>
    </row>
    <row r="50" spans="2:16" x14ac:dyDescent="0.35">
      <c r="B50">
        <v>238.95472154037458</v>
      </c>
      <c r="C50">
        <v>33.321633477940196</v>
      </c>
      <c r="D50">
        <v>184.90800710695802</v>
      </c>
      <c r="E50">
        <v>303.46993365684989</v>
      </c>
      <c r="K50">
        <v>240.58035507080251</v>
      </c>
      <c r="L50">
        <v>21.638960876363189</v>
      </c>
      <c r="M50">
        <v>207.6957184715485</v>
      </c>
      <c r="N50">
        <v>291.37525460950906</v>
      </c>
    </row>
    <row r="51" spans="2:16" x14ac:dyDescent="0.35">
      <c r="B51">
        <v>183.19062248605917</v>
      </c>
      <c r="C51">
        <v>28.503848901093932</v>
      </c>
      <c r="D51">
        <v>132.72915001086997</v>
      </c>
      <c r="E51">
        <v>239.62503427837183</v>
      </c>
      <c r="K51">
        <v>183.83787724446429</v>
      </c>
      <c r="L51">
        <v>12.402195204871074</v>
      </c>
      <c r="M51">
        <v>158.42854398392126</v>
      </c>
      <c r="N51">
        <v>208.70075805369882</v>
      </c>
    </row>
    <row r="52" spans="2:16" x14ac:dyDescent="0.35">
      <c r="B52" s="2">
        <v>215.40072129072388</v>
      </c>
      <c r="C52" s="2">
        <v>28.821146210711653</v>
      </c>
      <c r="D52" s="2">
        <v>166.54231458003005</v>
      </c>
      <c r="E52" s="2">
        <v>267.01075122471468</v>
      </c>
      <c r="K52" s="2">
        <v>215.20027380438381</v>
      </c>
      <c r="L52" s="2">
        <v>14.053182389377614</v>
      </c>
      <c r="M52" s="2">
        <v>190.88168707710105</v>
      </c>
      <c r="N52" s="2">
        <v>245.29926826890772</v>
      </c>
    </row>
    <row r="54" spans="2:16" x14ac:dyDescent="0.35">
      <c r="B54" s="1" t="s">
        <v>53</v>
      </c>
      <c r="C54" s="1" t="s">
        <v>27</v>
      </c>
      <c r="D54" s="1" t="s">
        <v>29</v>
      </c>
      <c r="E54" s="1" t="s">
        <v>30</v>
      </c>
      <c r="K54" s="1" t="s">
        <v>53</v>
      </c>
      <c r="L54" s="1" t="s">
        <v>27</v>
      </c>
      <c r="M54" s="1" t="s">
        <v>29</v>
      </c>
      <c r="N54" s="1" t="s">
        <v>30</v>
      </c>
    </row>
    <row r="55" spans="2:16" x14ac:dyDescent="0.35">
      <c r="B55">
        <v>203.11512752849421</v>
      </c>
      <c r="C55">
        <v>32.035125036375156</v>
      </c>
      <c r="D55">
        <v>149.25059082412301</v>
      </c>
      <c r="E55">
        <v>263.31397876194814</v>
      </c>
      <c r="G55" s="10" t="s">
        <v>61</v>
      </c>
      <c r="K55">
        <v>204.12883955051666</v>
      </c>
      <c r="L55">
        <v>13.337612458082809</v>
      </c>
      <c r="M55">
        <v>178.74392181968742</v>
      </c>
      <c r="N55">
        <v>229.83166630528245</v>
      </c>
      <c r="P55" s="10" t="s">
        <v>63</v>
      </c>
    </row>
    <row r="56" spans="2:16" x14ac:dyDescent="0.35">
      <c r="B56">
        <v>236.74720140429628</v>
      </c>
      <c r="C56">
        <v>33.057652764281464</v>
      </c>
      <c r="D56">
        <v>178.43779323273222</v>
      </c>
      <c r="E56">
        <v>297.65422911815563</v>
      </c>
      <c r="K56">
        <v>237.88431339950546</v>
      </c>
      <c r="L56">
        <v>15.723182962126581</v>
      </c>
      <c r="M56">
        <v>208.20502339242813</v>
      </c>
      <c r="N56">
        <v>269.14459353702119</v>
      </c>
    </row>
    <row r="57" spans="2:16" x14ac:dyDescent="0.35">
      <c r="B57">
        <v>185.10059161680817</v>
      </c>
      <c r="C57">
        <v>30.751732022238357</v>
      </c>
      <c r="D57">
        <v>134.03445482650704</v>
      </c>
      <c r="E57">
        <v>240.16651943867089</v>
      </c>
      <c r="K57">
        <v>183.57007512644759</v>
      </c>
      <c r="L57">
        <v>11.182981641900241</v>
      </c>
      <c r="M57">
        <v>161.96284480639039</v>
      </c>
      <c r="N57">
        <v>206.06924364502103</v>
      </c>
    </row>
    <row r="58" spans="2:16" x14ac:dyDescent="0.35">
      <c r="B58" s="2">
        <v>213.77927484956655</v>
      </c>
      <c r="C58" s="2">
        <v>30.548211196291341</v>
      </c>
      <c r="D58" s="2">
        <v>163.64717335134301</v>
      </c>
      <c r="E58" s="2">
        <v>268.8624684472685</v>
      </c>
      <c r="K58" s="2">
        <v>213.48623080706642</v>
      </c>
      <c r="L58" s="2">
        <v>10.598351990576285</v>
      </c>
      <c r="M58" s="2">
        <v>193.49539256227132</v>
      </c>
      <c r="N58" s="2">
        <v>235.17992988219933</v>
      </c>
    </row>
  </sheetData>
  <pageMargins left="0.7" right="0.7" top="0.75" bottom="0.75" header="0.3" footer="0.3"/>
  <ignoredErrors>
    <ignoredError sqref="H1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Examples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2025-12-18T19:49:11Z</dcterms:created>
  <dcterms:modified xsi:type="dcterms:W3CDTF">2025-12-20T14:26:06Z</dcterms:modified>
</cp:coreProperties>
</file>