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5DD818DC-8A85-4BDF-ACFB-D0A1BB983AE7}" xr6:coauthVersionLast="47" xr6:coauthVersionMax="47" xr10:uidLastSave="{00000000-0000-0000-0000-000000000000}"/>
  <bookViews>
    <workbookView xWindow="-110" yWindow="-110" windowWidth="19420" windowHeight="10300" xr2:uid="{7C595E72-D96A-4CD1-8A49-8E6760205F9A}"/>
  </bookViews>
  <sheets>
    <sheet name="Title" sheetId="4" r:id="rId1"/>
    <sheet name="ANOVA 2.2" sheetId="1" r:id="rId2"/>
    <sheet name="ANOVA 2.2A" sheetId="2" r:id="rId3"/>
    <sheet name="ANOVA 2.3" sheetId="3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4" i="1" l="1"/>
  <c r="R34" i="1"/>
  <c r="Q34" i="1"/>
  <c r="S33" i="1"/>
  <c r="R33" i="1"/>
  <c r="Q33" i="1"/>
  <c r="U32" i="1"/>
  <c r="T32" i="1"/>
  <c r="S32" i="1"/>
  <c r="R32" i="1"/>
  <c r="Q32" i="1"/>
  <c r="U31" i="1"/>
  <c r="T31" i="1"/>
  <c r="S31" i="1"/>
  <c r="R31" i="1"/>
  <c r="Q31" i="1"/>
  <c r="U30" i="1"/>
  <c r="T30" i="1"/>
  <c r="S30" i="1"/>
  <c r="R30" i="1"/>
  <c r="Q30" i="1"/>
  <c r="K29" i="3"/>
  <c r="J28" i="3"/>
  <c r="L27" i="3"/>
  <c r="K27" i="3"/>
  <c r="J27" i="3"/>
  <c r="I27" i="3"/>
  <c r="I22" i="3"/>
  <c r="K21" i="3"/>
  <c r="J21" i="3"/>
  <c r="I21" i="3"/>
  <c r="I17" i="3"/>
  <c r="P5" i="3" s="1"/>
  <c r="M15" i="3"/>
  <c r="L15" i="3"/>
  <c r="K15" i="3"/>
  <c r="L29" i="3" s="1"/>
  <c r="J15" i="3"/>
  <c r="I15" i="3"/>
  <c r="M14" i="3"/>
  <c r="L14" i="3"/>
  <c r="K14" i="3"/>
  <c r="J14" i="3"/>
  <c r="I14" i="3"/>
  <c r="M13" i="3"/>
  <c r="L13" i="3"/>
  <c r="K13" i="3"/>
  <c r="J29" i="3" s="1"/>
  <c r="J13" i="3"/>
  <c r="J19" i="3" s="1"/>
  <c r="K19" i="3" s="1"/>
  <c r="I13" i="3"/>
  <c r="I19" i="3" s="1"/>
  <c r="M12" i="3"/>
  <c r="L12" i="3"/>
  <c r="K12" i="3"/>
  <c r="I29" i="3" s="1"/>
  <c r="J12" i="3"/>
  <c r="I12" i="3"/>
  <c r="M11" i="3"/>
  <c r="L11" i="3"/>
  <c r="K11" i="3"/>
  <c r="L28" i="3" s="1"/>
  <c r="J11" i="3"/>
  <c r="J24" i="3" s="1"/>
  <c r="I11" i="3"/>
  <c r="I24" i="3" s="1"/>
  <c r="Q10" i="3"/>
  <c r="P10" i="3"/>
  <c r="M10" i="3"/>
  <c r="L10" i="3"/>
  <c r="K10" i="3"/>
  <c r="K28" i="3" s="1"/>
  <c r="J10" i="3"/>
  <c r="I10" i="3"/>
  <c r="M9" i="3"/>
  <c r="L9" i="3"/>
  <c r="K9" i="3"/>
  <c r="J9" i="3"/>
  <c r="I9" i="3"/>
  <c r="Q8" i="3"/>
  <c r="M8" i="3"/>
  <c r="L8" i="3"/>
  <c r="K8" i="3"/>
  <c r="I28" i="3" s="1"/>
  <c r="J8" i="3"/>
  <c r="J18" i="3" s="1"/>
  <c r="I8" i="3"/>
  <c r="I18" i="3" s="1"/>
  <c r="M7" i="3"/>
  <c r="L7" i="3"/>
  <c r="K7" i="3"/>
  <c r="J7" i="3"/>
  <c r="I7" i="3"/>
  <c r="Q6" i="3"/>
  <c r="M6" i="3"/>
  <c r="L6" i="3"/>
  <c r="K6" i="3"/>
  <c r="J6" i="3"/>
  <c r="J23" i="3" s="1"/>
  <c r="I6" i="3"/>
  <c r="I23" i="3" s="1"/>
  <c r="Q5" i="3"/>
  <c r="Q7" i="3" s="1"/>
  <c r="M5" i="3"/>
  <c r="P8" i="3" s="1"/>
  <c r="R8" i="3" s="1"/>
  <c r="L5" i="3"/>
  <c r="K5" i="3"/>
  <c r="J5" i="3"/>
  <c r="J22" i="3" s="1"/>
  <c r="I5" i="3"/>
  <c r="M4" i="3"/>
  <c r="L4" i="3"/>
  <c r="K4" i="3"/>
  <c r="J4" i="3"/>
  <c r="J17" i="3" s="1"/>
  <c r="K17" i="3" s="1"/>
  <c r="I4" i="3"/>
  <c r="Y23" i="2"/>
  <c r="X23" i="2"/>
  <c r="W23" i="2"/>
  <c r="Y22" i="2"/>
  <c r="X22" i="2"/>
  <c r="W22" i="2"/>
  <c r="L22" i="2"/>
  <c r="K22" i="2"/>
  <c r="J22" i="2"/>
  <c r="I22" i="2"/>
  <c r="H22" i="2"/>
  <c r="Y21" i="2"/>
  <c r="X21" i="2"/>
  <c r="W21" i="2"/>
  <c r="L21" i="2"/>
  <c r="K21" i="2"/>
  <c r="J21" i="2"/>
  <c r="I21" i="2"/>
  <c r="H21" i="2"/>
  <c r="G21" i="2"/>
  <c r="Y20" i="2"/>
  <c r="X20" i="2"/>
  <c r="W20" i="2"/>
  <c r="L20" i="2"/>
  <c r="K20" i="2"/>
  <c r="J20" i="2"/>
  <c r="I20" i="2"/>
  <c r="H20" i="2"/>
  <c r="G20" i="2"/>
  <c r="Y19" i="2"/>
  <c r="X19" i="2"/>
  <c r="W19" i="2"/>
  <c r="V19" i="2"/>
  <c r="L19" i="2"/>
  <c r="K19" i="2"/>
  <c r="J19" i="2"/>
  <c r="I19" i="2"/>
  <c r="H19" i="2"/>
  <c r="O8" i="2" s="1"/>
  <c r="G19" i="2"/>
  <c r="Y18" i="2"/>
  <c r="X18" i="2"/>
  <c r="W18" i="2"/>
  <c r="K18" i="2"/>
  <c r="J18" i="2"/>
  <c r="I18" i="2"/>
  <c r="H18" i="2"/>
  <c r="Y17" i="2"/>
  <c r="X17" i="2"/>
  <c r="W17" i="2"/>
  <c r="Y16" i="2"/>
  <c r="X16" i="2"/>
  <c r="W16" i="2"/>
  <c r="Y15" i="2"/>
  <c r="X15" i="2"/>
  <c r="W15" i="2"/>
  <c r="L15" i="2"/>
  <c r="K15" i="2"/>
  <c r="J15" i="2"/>
  <c r="I15" i="2"/>
  <c r="P6" i="2" s="1"/>
  <c r="H15" i="2"/>
  <c r="O6" i="2" s="1"/>
  <c r="Y14" i="2"/>
  <c r="X14" i="2"/>
  <c r="W14" i="2"/>
  <c r="V14" i="2"/>
  <c r="L14" i="2"/>
  <c r="K14" i="2"/>
  <c r="J14" i="2"/>
  <c r="I14" i="2"/>
  <c r="H14" i="2"/>
  <c r="G14" i="2"/>
  <c r="Y13" i="2"/>
  <c r="X13" i="2"/>
  <c r="W13" i="2"/>
  <c r="L13" i="2"/>
  <c r="O5" i="2" s="1"/>
  <c r="K13" i="2"/>
  <c r="J13" i="2"/>
  <c r="I13" i="2"/>
  <c r="H13" i="2"/>
  <c r="G13" i="2"/>
  <c r="Y12" i="2"/>
  <c r="X12" i="2"/>
  <c r="W12" i="2"/>
  <c r="L12" i="2"/>
  <c r="P5" i="2" s="1"/>
  <c r="K12" i="2"/>
  <c r="J12" i="2"/>
  <c r="I12" i="2"/>
  <c r="H12" i="2"/>
  <c r="G12" i="2"/>
  <c r="Y11" i="2"/>
  <c r="X11" i="2"/>
  <c r="W11" i="2"/>
  <c r="K11" i="2"/>
  <c r="J11" i="2"/>
  <c r="I11" i="2"/>
  <c r="H11" i="2"/>
  <c r="Y10" i="2"/>
  <c r="X10" i="2"/>
  <c r="W10" i="2"/>
  <c r="Y9" i="2"/>
  <c r="X9" i="2"/>
  <c r="W9" i="2"/>
  <c r="V9" i="2"/>
  <c r="Q9" i="2"/>
  <c r="O9" i="2" s="1"/>
  <c r="O7" i="2" s="1"/>
  <c r="Y8" i="2"/>
  <c r="X8" i="2"/>
  <c r="W8" i="2"/>
  <c r="L8" i="2"/>
  <c r="P9" i="2" s="1"/>
  <c r="K8" i="2"/>
  <c r="J8" i="2"/>
  <c r="I8" i="2"/>
  <c r="H8" i="2"/>
  <c r="Y7" i="2"/>
  <c r="X7" i="2"/>
  <c r="W7" i="2"/>
  <c r="L7" i="2"/>
  <c r="K7" i="2"/>
  <c r="J7" i="2"/>
  <c r="I7" i="2"/>
  <c r="H7" i="2"/>
  <c r="G7" i="2"/>
  <c r="Y6" i="2"/>
  <c r="X6" i="2"/>
  <c r="W6" i="2"/>
  <c r="L6" i="2"/>
  <c r="K6" i="2"/>
  <c r="J6" i="2"/>
  <c r="I6" i="2"/>
  <c r="H6" i="2"/>
  <c r="G6" i="2"/>
  <c r="Y5" i="2"/>
  <c r="X5" i="2"/>
  <c r="W5" i="2"/>
  <c r="L5" i="2"/>
  <c r="K5" i="2"/>
  <c r="J5" i="2"/>
  <c r="I5" i="2"/>
  <c r="H5" i="2"/>
  <c r="H3" i="2" s="1"/>
  <c r="G5" i="2"/>
  <c r="Y4" i="2"/>
  <c r="X4" i="2"/>
  <c r="W4" i="2"/>
  <c r="V4" i="2"/>
  <c r="K4" i="2"/>
  <c r="J4" i="2"/>
  <c r="I4" i="2"/>
  <c r="H4" i="2"/>
  <c r="Y3" i="2"/>
  <c r="X3" i="2"/>
  <c r="W3" i="2"/>
  <c r="H47" i="1"/>
  <c r="N46" i="1"/>
  <c r="M46" i="1"/>
  <c r="L46" i="1"/>
  <c r="K46" i="1"/>
  <c r="H46" i="1"/>
  <c r="N45" i="1"/>
  <c r="M45" i="1"/>
  <c r="L45" i="1"/>
  <c r="K45" i="1"/>
  <c r="H45" i="1"/>
  <c r="N44" i="1"/>
  <c r="M44" i="1"/>
  <c r="L44" i="1"/>
  <c r="K44" i="1"/>
  <c r="H44" i="1"/>
  <c r="N41" i="1"/>
  <c r="M41" i="1"/>
  <c r="L41" i="1"/>
  <c r="K41" i="1"/>
  <c r="H41" i="1"/>
  <c r="Q40" i="1"/>
  <c r="N40" i="1"/>
  <c r="M40" i="1"/>
  <c r="L40" i="1"/>
  <c r="K40" i="1"/>
  <c r="H40" i="1"/>
  <c r="N39" i="1"/>
  <c r="M39" i="1"/>
  <c r="L39" i="1"/>
  <c r="H33" i="1" s="1"/>
  <c r="J33" i="1" s="1"/>
  <c r="K39" i="1"/>
  <c r="H39" i="1"/>
  <c r="I35" i="1"/>
  <c r="H35" i="1"/>
  <c r="I33" i="1"/>
  <c r="M30" i="1" s="1"/>
  <c r="I31" i="1"/>
  <c r="M31" i="1" s="1"/>
  <c r="I30" i="1"/>
  <c r="I32" i="1" s="1"/>
  <c r="M32" i="1" s="1"/>
  <c r="L26" i="1"/>
  <c r="K26" i="1"/>
  <c r="J26" i="1"/>
  <c r="I26" i="1"/>
  <c r="H26" i="1"/>
  <c r="L25" i="1"/>
  <c r="K25" i="1"/>
  <c r="J25" i="1"/>
  <c r="I25" i="1"/>
  <c r="H25" i="1"/>
  <c r="K24" i="1"/>
  <c r="J24" i="1"/>
  <c r="I24" i="1"/>
  <c r="H24" i="1"/>
  <c r="L24" i="1" s="1"/>
  <c r="L23" i="1"/>
  <c r="K23" i="1"/>
  <c r="J23" i="1"/>
  <c r="I23" i="1"/>
  <c r="H23" i="1"/>
  <c r="H31" i="1" s="1"/>
  <c r="J31" i="1" s="1"/>
  <c r="L20" i="1"/>
  <c r="K20" i="1"/>
  <c r="J20" i="1"/>
  <c r="I20" i="1"/>
  <c r="H20" i="1"/>
  <c r="L19" i="1"/>
  <c r="K19" i="1"/>
  <c r="J19" i="1"/>
  <c r="I19" i="1"/>
  <c r="H19" i="1"/>
  <c r="L18" i="1"/>
  <c r="K18" i="1"/>
  <c r="J18" i="1"/>
  <c r="I18" i="1"/>
  <c r="H18" i="1"/>
  <c r="K17" i="1"/>
  <c r="J17" i="1"/>
  <c r="I17" i="1"/>
  <c r="H17" i="1"/>
  <c r="L17" i="1" s="1"/>
  <c r="L14" i="1"/>
  <c r="K14" i="1"/>
  <c r="J14" i="1"/>
  <c r="I14" i="1"/>
  <c r="H14" i="1"/>
  <c r="L13" i="1"/>
  <c r="K13" i="1"/>
  <c r="J13" i="1"/>
  <c r="I13" i="1"/>
  <c r="H13" i="1"/>
  <c r="L12" i="1"/>
  <c r="K12" i="1"/>
  <c r="J12" i="1"/>
  <c r="I12" i="1"/>
  <c r="H12" i="1"/>
  <c r="K11" i="1"/>
  <c r="J11" i="1"/>
  <c r="I11" i="1"/>
  <c r="H11" i="1"/>
  <c r="L11" i="1" s="1"/>
  <c r="L8" i="1"/>
  <c r="K8" i="1"/>
  <c r="J8" i="1"/>
  <c r="I8" i="1"/>
  <c r="H8" i="1"/>
  <c r="L7" i="1"/>
  <c r="K7" i="1"/>
  <c r="J7" i="1"/>
  <c r="I7" i="1"/>
  <c r="H7" i="1"/>
  <c r="L6" i="1"/>
  <c r="K6" i="1"/>
  <c r="J6" i="1"/>
  <c r="I6" i="1"/>
  <c r="H6" i="1"/>
  <c r="L5" i="1"/>
  <c r="H30" i="1" s="1"/>
  <c r="K5" i="1"/>
  <c r="J5" i="1"/>
  <c r="I5" i="1"/>
  <c r="H5" i="1"/>
  <c r="Q39" i="1" s="1"/>
  <c r="H32" i="1" l="1"/>
  <c r="J32" i="1" s="1"/>
  <c r="K32" i="1" s="1"/>
  <c r="L32" i="1" s="1"/>
  <c r="J30" i="1"/>
  <c r="K30" i="1" s="1"/>
  <c r="L30" i="1" s="1"/>
  <c r="K18" i="3"/>
  <c r="P7" i="2"/>
  <c r="P8" i="2" s="1"/>
  <c r="Q8" i="2" s="1"/>
  <c r="T7" i="2"/>
  <c r="K24" i="3"/>
  <c r="U5" i="3"/>
  <c r="R5" i="3"/>
  <c r="S5" i="3" s="1"/>
  <c r="T5" i="3" s="1"/>
  <c r="P7" i="3"/>
  <c r="K22" i="3"/>
  <c r="P6" i="3"/>
  <c r="Q41" i="1"/>
  <c r="T5" i="2"/>
  <c r="Q5" i="2"/>
  <c r="Q6" i="2"/>
  <c r="T6" i="2"/>
  <c r="K23" i="3"/>
  <c r="K31" i="1"/>
  <c r="L31" i="1" s="1"/>
  <c r="U7" i="3" l="1"/>
  <c r="R7" i="3"/>
  <c r="S7" i="3" s="1"/>
  <c r="T7" i="3" s="1"/>
  <c r="Q7" i="2"/>
  <c r="R7" i="2" s="1"/>
  <c r="S7" i="2" s="1"/>
  <c r="R6" i="2"/>
  <c r="S6" i="2" s="1"/>
  <c r="R5" i="2"/>
  <c r="S5" i="2" s="1"/>
  <c r="U6" i="3"/>
  <c r="R6" i="3"/>
  <c r="S6" i="3" s="1"/>
  <c r="T6" i="3" s="1"/>
</calcChain>
</file>

<file path=xl/sharedStrings.xml><?xml version="1.0" encoding="utf-8"?>
<sst xmlns="http://schemas.openxmlformats.org/spreadsheetml/2006/main" count="201" uniqueCount="65">
  <si>
    <t>Two Factor ANOVA with replication</t>
  </si>
  <si>
    <t>Anova: Two-Factor With Replication</t>
  </si>
  <si>
    <t>Interaction</t>
  </si>
  <si>
    <t>Crop</t>
  </si>
  <si>
    <t>SUMMARY</t>
  </si>
  <si>
    <t>Wheat</t>
  </si>
  <si>
    <t>Corn</t>
  </si>
  <si>
    <t>Soy</t>
  </si>
  <si>
    <t>Rice</t>
  </si>
  <si>
    <t>Total</t>
  </si>
  <si>
    <t>Fertilizer</t>
  </si>
  <si>
    <t>Blend X</t>
  </si>
  <si>
    <t>Count</t>
  </si>
  <si>
    <t>Sum</t>
  </si>
  <si>
    <t>Average</t>
  </si>
  <si>
    <t>Variance</t>
  </si>
  <si>
    <t>Blend Y</t>
  </si>
  <si>
    <t>Blend Z</t>
  </si>
  <si>
    <t>Using Real Statistics functions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</si>
  <si>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</si>
  <si>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</si>
  <si>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</si>
  <si>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</si>
  <si>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</si>
  <si>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</si>
  <si>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</si>
  <si>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</si>
  <si>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Source</t>
  </si>
  <si>
    <t>Fertilizer (Rows)</t>
  </si>
  <si>
    <t>Crop (Columns)</t>
  </si>
  <si>
    <t xml:space="preserve">Crop </t>
  </si>
  <si>
    <t>Inter</t>
  </si>
  <si>
    <t>Within</t>
  </si>
  <si>
    <t xml:space="preserve">Alternative way of calculating SSW </t>
  </si>
  <si>
    <t>ROWS(FERTLIZER)</t>
  </si>
  <si>
    <t>SSW</t>
  </si>
  <si>
    <t>SSBet</t>
  </si>
  <si>
    <t>SST</t>
  </si>
  <si>
    <t>COLUMNS (CROP)</t>
  </si>
  <si>
    <t>Means</t>
  </si>
  <si>
    <t>Two Factor ANOVA Real Statistics analysis</t>
  </si>
  <si>
    <t>Descriptive Statistics</t>
  </si>
  <si>
    <t>Two Factor Anova</t>
  </si>
  <si>
    <t>Input data with rows and columns exchanged</t>
  </si>
  <si>
    <t>COUNT</t>
  </si>
  <si>
    <t>Alpha</t>
  </si>
  <si>
    <t>p-value</t>
  </si>
  <si>
    <t>p eta-sq</t>
  </si>
  <si>
    <t>Rows</t>
  </si>
  <si>
    <t>Columns</t>
  </si>
  <si>
    <t>MEAN</t>
  </si>
  <si>
    <t>VARIANCE</t>
  </si>
  <si>
    <t>Two-way ANOVA</t>
  </si>
  <si>
    <t>Yield</t>
  </si>
  <si>
    <t>Mean</t>
  </si>
  <si>
    <t>Formulas for SS terms</t>
  </si>
  <si>
    <t>=DEVSQ(J17:J19)/I17</t>
  </si>
  <si>
    <t>=DEVSQ(J21:J24)/I21</t>
  </si>
  <si>
    <t>=P10-P5-P6-P8</t>
  </si>
  <si>
    <t>=SUM(M4:M15)</t>
  </si>
  <si>
    <t>=DEVSQ(C4:G15)</t>
  </si>
  <si>
    <t>Real Statistics Using Excel</t>
  </si>
  <si>
    <t>Updated</t>
  </si>
  <si>
    <t>Copyright © 2013 - 2025 Charles Zaiontz</t>
  </si>
  <si>
    <t>Two Factor ANOVA with Replication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</si>
</sst>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1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1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3" fillId="0" borderId="5" xfId="0" applyFont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2" xfId="0" applyBorder="1" applyAlignment="1">
      <alignment horizontal="right"/>
    </xf>
    <xf numFmtId="0" fontId="0" fillId="0" borderId="63" xfId="0" applyBorder="1" applyAlignment="1">
      <alignment horizontal="center"/>
    </xf>
    <xf numFmtId="0" fontId="0" fillId="0" borderId="0" xfId="0" quotePrefix="1"/>
    <xf numFmtId="15" fontId="0" fillId="0" borderId="0" xfId="0" applyNumberForma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Blend X</c:v>
          </c:tx>
          <c:marker>
            <c:symbol val="none"/>
          </c:marker>
          <c:cat>
            <c:strRef>
              <c:f>'ANOVA 2.2'!$K$43:$N$43</c:f>
              <c:strCache>
                <c:ptCount val="4"/>
                <c:pt idx="0">
                  <c:v>Wheat</c:v>
                </c:pt>
                <c:pt idx="1">
                  <c:v>Corn</c:v>
                </c:pt>
                <c:pt idx="2">
                  <c:v>Soy</c:v>
                </c:pt>
                <c:pt idx="3">
                  <c:v>Rice</c:v>
                </c:pt>
              </c:strCache>
            </c:strRef>
          </c:cat>
          <c:val>
            <c:numRef>
              <c:f>'ANOVA 2.2'!$K$44:$N$44</c:f>
              <c:numCache>
                <c:formatCode>General</c:formatCode>
                <c:ptCount val="4"/>
                <c:pt idx="0">
                  <c:v>131.80000000000001</c:v>
                </c:pt>
                <c:pt idx="1">
                  <c:v>135.4</c:v>
                </c:pt>
                <c:pt idx="2">
                  <c:v>175.8</c:v>
                </c:pt>
                <c:pt idx="3">
                  <c:v>141.19999999999999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C-4EF5-9263-9E7B1A13738A}"/>
            </c:ext>
          </c:extLst>
        </c:ser>
        <c:ser>
          <c:idx val="1"/>
          <c:order val="1"/>
          <c:tx>
            <c:v>Blend Y</c:v>
          </c:tx>
          <c:marker>
            <c:symbol val="none"/>
          </c:marker>
          <c:cat>
            <c:strRef>
              <c:f>'ANOVA 2.2'!$K$43:$N$43</c:f>
              <c:strCache>
                <c:ptCount val="4"/>
                <c:pt idx="0">
                  <c:v>Wheat</c:v>
                </c:pt>
                <c:pt idx="1">
                  <c:v>Corn</c:v>
                </c:pt>
                <c:pt idx="2">
                  <c:v>Soy</c:v>
                </c:pt>
                <c:pt idx="3">
                  <c:v>Rice</c:v>
                </c:pt>
              </c:strCache>
            </c:strRef>
          </c:cat>
          <c:val>
            <c:numRef>
              <c:f>'ANOVA 2.2'!$K$45:$N$45</c:f>
              <c:numCache>
                <c:formatCode>General</c:formatCode>
                <c:ptCount val="4"/>
                <c:pt idx="0">
                  <c:v>143.19999999999999</c:v>
                </c:pt>
                <c:pt idx="1">
                  <c:v>159.6</c:v>
                </c:pt>
                <c:pt idx="2">
                  <c:v>140.19999999999999</c:v>
                </c:pt>
                <c:pt idx="3">
                  <c:v>165.4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C-4EF5-9263-9E7B1A13738A}"/>
            </c:ext>
          </c:extLst>
        </c:ser>
        <c:ser>
          <c:idx val="2"/>
          <c:order val="2"/>
          <c:tx>
            <c:v>Blend Z</c:v>
          </c:tx>
          <c:marker>
            <c:symbol val="none"/>
          </c:marker>
          <c:cat>
            <c:strRef>
              <c:f>'ANOVA 2.2'!$K$43:$N$43</c:f>
              <c:strCache>
                <c:ptCount val="4"/>
                <c:pt idx="0">
                  <c:v>Wheat</c:v>
                </c:pt>
                <c:pt idx="1">
                  <c:v>Corn</c:v>
                </c:pt>
                <c:pt idx="2">
                  <c:v>Soy</c:v>
                </c:pt>
                <c:pt idx="3">
                  <c:v>Rice</c:v>
                </c:pt>
              </c:strCache>
            </c:strRef>
          </c:cat>
          <c:val>
            <c:numRef>
              <c:f>'ANOVA 2.2'!$K$46:$N$46</c:f>
              <c:numCache>
                <c:formatCode>General</c:formatCode>
                <c:ptCount val="4"/>
                <c:pt idx="0">
                  <c:v>164.4</c:v>
                </c:pt>
                <c:pt idx="1">
                  <c:v>173.6</c:v>
                </c:pt>
                <c:pt idx="2">
                  <c:v>186.4</c:v>
                </c:pt>
                <c:pt idx="3">
                  <c:v>172.4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3C-4EF5-9263-9E7B1A137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3672640"/>
        <c:axId val="753673032"/>
      </c:lineChart>
      <c:catAx>
        <c:axId val="753672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53673032"/>
        <c:crosses val="autoZero"/>
        <c:auto val="1"/>
        <c:lblAlgn val="ctr"/>
        <c:lblOffset val="100"/>
        <c:noMultiLvlLbl val="0"/>
      </c:catAx>
      <c:valAx>
        <c:axId val="753673032"/>
        <c:scaling>
          <c:orientation val="minMax"/>
          <c:min val="1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3672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'ANOVA 2.2'!$K$43</c:f>
              <c:strCache>
                <c:ptCount val="1"/>
                <c:pt idx="0">
                  <c:v>Wheat</c:v>
                </c:pt>
              </c:strCache>
            </c:strRef>
          </c:tx>
          <c:marker>
            <c:symbol val="none"/>
          </c:marker>
          <c:cat>
            <c:strRef>
              <c:f>'ANOVA 2.2'!$J$44:$J$46</c:f>
              <c:strCache>
                <c:ptCount val="3"/>
                <c:pt idx="0">
                  <c:v>Blend X</c:v>
                </c:pt>
                <c:pt idx="1">
                  <c:v>Blend Y</c:v>
                </c:pt>
                <c:pt idx="2">
                  <c:v>Blend Z</c:v>
                </c:pt>
              </c:strCache>
            </c:strRef>
          </c:cat>
          <c:val>
            <c:numRef>
              <c:f>'ANOVA 2.2'!$K$44:$K$46</c:f>
              <c:numCache>
                <c:formatCode>General</c:formatCode>
                <c:ptCount val="3"/>
                <c:pt idx="0">
                  <c:v>131.80000000000001</c:v>
                </c:pt>
                <c:pt idx="1">
                  <c:v>143.19999999999999</c:v>
                </c:pt>
                <c:pt idx="2">
                  <c:v>164.4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C-4916-85C6-4B55054F9EBA}"/>
            </c:ext>
          </c:extLst>
        </c:ser>
        <c:ser>
          <c:idx val="1"/>
          <c:order val="1"/>
          <c:tx>
            <c:strRef>
              <c:f>'ANOVA 2.2'!$L$43</c:f>
              <c:strCache>
                <c:ptCount val="1"/>
                <c:pt idx="0">
                  <c:v>Corn</c:v>
                </c:pt>
              </c:strCache>
            </c:strRef>
          </c:tx>
          <c:marker>
            <c:symbol val="none"/>
          </c:marker>
          <c:cat>
            <c:strRef>
              <c:f>'ANOVA 2.2'!$J$44:$J$46</c:f>
              <c:strCache>
                <c:ptCount val="3"/>
                <c:pt idx="0">
                  <c:v>Blend X</c:v>
                </c:pt>
                <c:pt idx="1">
                  <c:v>Blend Y</c:v>
                </c:pt>
                <c:pt idx="2">
                  <c:v>Blend Z</c:v>
                </c:pt>
              </c:strCache>
            </c:strRef>
          </c:cat>
          <c:val>
            <c:numRef>
              <c:f>'ANOVA 2.2'!$L$44:$L$46</c:f>
              <c:numCache>
                <c:formatCode>General</c:formatCode>
                <c:ptCount val="3"/>
                <c:pt idx="0">
                  <c:v>135.4</c:v>
                </c:pt>
                <c:pt idx="1">
                  <c:v>159.6</c:v>
                </c:pt>
                <c:pt idx="2">
                  <c:v>173.6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C-4916-85C6-4B55054F9EBA}"/>
            </c:ext>
          </c:extLst>
        </c:ser>
        <c:ser>
          <c:idx val="2"/>
          <c:order val="2"/>
          <c:tx>
            <c:strRef>
              <c:f>'ANOVA 2.2'!$M$43</c:f>
              <c:strCache>
                <c:ptCount val="1"/>
                <c:pt idx="0">
                  <c:v>Soy</c:v>
                </c:pt>
              </c:strCache>
            </c:strRef>
          </c:tx>
          <c:marker>
            <c:symbol val="none"/>
          </c:marker>
          <c:cat>
            <c:strRef>
              <c:f>'ANOVA 2.2'!$J$44:$J$46</c:f>
              <c:strCache>
                <c:ptCount val="3"/>
                <c:pt idx="0">
                  <c:v>Blend X</c:v>
                </c:pt>
                <c:pt idx="1">
                  <c:v>Blend Y</c:v>
                </c:pt>
                <c:pt idx="2">
                  <c:v>Blend Z</c:v>
                </c:pt>
              </c:strCache>
            </c:strRef>
          </c:cat>
          <c:val>
            <c:numRef>
              <c:f>'ANOVA 2.2'!$M$44:$M$46</c:f>
              <c:numCache>
                <c:formatCode>General</c:formatCode>
                <c:ptCount val="3"/>
                <c:pt idx="0">
                  <c:v>175.8</c:v>
                </c:pt>
                <c:pt idx="1">
                  <c:v>140.19999999999999</c:v>
                </c:pt>
                <c:pt idx="2">
                  <c:v>186.4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BC-4916-85C6-4B55054F9EBA}"/>
            </c:ext>
          </c:extLst>
        </c:ser>
        <c:ser>
          <c:idx val="3"/>
          <c:order val="3"/>
          <c:tx>
            <c:strRef>
              <c:f>'ANOVA 2.2'!$N$43</c:f>
              <c:strCache>
                <c:ptCount val="1"/>
                <c:pt idx="0">
                  <c:v>Rice</c:v>
                </c:pt>
              </c:strCache>
            </c:strRef>
          </c:tx>
          <c:marker>
            <c:symbol val="none"/>
          </c:marker>
          <c:cat>
            <c:strRef>
              <c:f>'ANOVA 2.2'!$J$44:$J$46</c:f>
              <c:strCache>
                <c:ptCount val="3"/>
                <c:pt idx="0">
                  <c:v>Blend X</c:v>
                </c:pt>
                <c:pt idx="1">
                  <c:v>Blend Y</c:v>
                </c:pt>
                <c:pt idx="2">
                  <c:v>Blend Z</c:v>
                </c:pt>
              </c:strCache>
            </c:strRef>
          </c:cat>
          <c:val>
            <c:numRef>
              <c:f>'ANOVA 2.2'!$N$44:$N$46</c:f>
              <c:numCache>
                <c:formatCode>General</c:formatCode>
                <c:ptCount val="3"/>
                <c:pt idx="0">
                  <c:v>141.19999999999999</c:v>
                </c:pt>
                <c:pt idx="1">
                  <c:v>165.4</c:v>
                </c:pt>
                <c:pt idx="2">
                  <c:v>172.4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BC-4916-85C6-4B55054F9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5713176"/>
        <c:axId val="515713568"/>
      </c:lineChart>
      <c:catAx>
        <c:axId val="515713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5713568"/>
        <c:crosses val="autoZero"/>
        <c:auto val="1"/>
        <c:lblAlgn val="ctr"/>
        <c:lblOffset val="100"/>
        <c:noMultiLvlLbl val="0"/>
      </c:catAx>
      <c:valAx>
        <c:axId val="515713568"/>
        <c:scaling>
          <c:orientation val="minMax"/>
          <c:min val="1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5713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10584</xdr:colOff>
      <xdr:row>2</xdr:row>
      <xdr:rowOff>20108</xdr:rowOff>
    </xdr:from>
    <xdr:to>
      <xdr:col>21</xdr:col>
      <xdr:colOff>285751</xdr:colOff>
      <xdr:row>16</xdr:row>
      <xdr:rowOff>64558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5CA79E-B41D-4C51-9103-AF5965547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370417</xdr:colOff>
      <xdr:row>2</xdr:row>
      <xdr:rowOff>20106</xdr:rowOff>
    </xdr:from>
    <xdr:to>
      <xdr:col>29</xdr:col>
      <xdr:colOff>31750</xdr:colOff>
      <xdr:row>16</xdr:row>
      <xdr:rowOff>64556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8B571C-44EC-428A-AF3A-96F21E24D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f5cd2f1f925cfd/Documenti/A%20Real%20Statistics%202020/Examples/Real%20Statistics%20Examples%20ANOVA%201.xlsx" TargetMode="External"/><Relationship Id="rId1" Type="http://schemas.openxmlformats.org/officeDocument/2006/relationships/externalLinkPath" Target="/38f5cd2f1f925cfd/Documenti/A%20Real%20Statistics%202020/Examples/Real%20Statistics%20Examples%20ANOV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"/>
      <sheetName val="ANOVA 1"/>
      <sheetName val="ANOVA 2"/>
      <sheetName val="ANOVA 3"/>
      <sheetName val="ANOVA 4"/>
      <sheetName val="ANOVA 5"/>
      <sheetName val="ANOVA 6"/>
      <sheetName val="Contrast 1"/>
      <sheetName val="Contrast 2"/>
      <sheetName val="Contrast 2a"/>
      <sheetName val="Contrast 3"/>
      <sheetName val="Tukey 1"/>
      <sheetName val="Tukey 2"/>
      <sheetName val="Tuk-Kra"/>
      <sheetName val="Gam-How"/>
      <sheetName val="REGWQ 1"/>
      <sheetName val="REGWQ 1a"/>
      <sheetName val="REGWQ 2"/>
      <sheetName val="REGWQ 2a"/>
      <sheetName val="Dunnett"/>
      <sheetName val="Hsu 1"/>
      <sheetName val="Hsu 2"/>
      <sheetName val="Scheffe 1"/>
      <sheetName val="Scheffe 1a"/>
      <sheetName val="Pairwise t"/>
      <sheetName val="Levene 1"/>
      <sheetName val="Levene 2"/>
      <sheetName val="Bartlett"/>
      <sheetName val="Fligner"/>
      <sheetName val="Log Transform"/>
      <sheetName val="Outliers"/>
      <sheetName val="KW"/>
      <sheetName val="KW-Post"/>
      <sheetName val="Nom-Ord"/>
      <sheetName val="NomOrd 2"/>
      <sheetName val="NomOrd 3"/>
      <sheetName val="JT"/>
      <sheetName val="Brown F 1"/>
      <sheetName val="Brown F 2"/>
      <sheetName val="Welch 1"/>
      <sheetName val="Welch 1a"/>
      <sheetName val="Welch 2"/>
      <sheetName val="Power Anova"/>
      <sheetName val="Power Tukey 1"/>
      <sheetName val="Power Tukey 2"/>
      <sheetName val="Anova Resamp"/>
      <sheetName val="Anova Resamp 1"/>
      <sheetName val="COV"/>
      <sheetName val="Moods 2"/>
      <sheetName val="ANOVA 2.1"/>
      <sheetName val="ANOVA 2.1a"/>
      <sheetName val="ANOVA 2.1b"/>
      <sheetName val="ANOVA 2.2"/>
      <sheetName val="ANOVA 2.2A"/>
      <sheetName val="ANOVA 2.3"/>
      <sheetName val="ANOVA 2.4"/>
      <sheetName val="ANOVA 2.5"/>
      <sheetName val="ANOVA 2.6"/>
      <sheetName val="Simple Effect"/>
      <sheetName val="Contrasts 2.1"/>
      <sheetName val="Contrasts 2.2"/>
      <sheetName val="Tukey 2.1"/>
      <sheetName val="ANOVA 3.1"/>
      <sheetName val="ANOVA 3.2"/>
      <sheetName val="ANOVA 3.2a"/>
      <sheetName val="ANOVA 3.3"/>
      <sheetName val="ANOVA 3.4"/>
      <sheetName val="ANOVA 3.5"/>
      <sheetName val="Gage"/>
      <sheetName val="Gage 1"/>
      <sheetName val="Scheirer"/>
      <sheetName val="ART 2"/>
      <sheetName val="ART 2a"/>
      <sheetName val="ART 3"/>
      <sheetName val="Reg Anova 1"/>
      <sheetName val="Reg Anova 2"/>
      <sheetName val="Reg Anova 3"/>
      <sheetName val="Reg Anova 4"/>
      <sheetName val="Reg Anova 5"/>
      <sheetName val="Reg An3.1"/>
      <sheetName val="Reg An3.2"/>
      <sheetName val="Stud. Q Table"/>
      <sheetName val="Stud. Q Table 2"/>
      <sheetName val=" Dunnett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43">
          <cell r="K43" t="str">
            <v>Wheat</v>
          </cell>
          <cell r="L43" t="str">
            <v>Corn</v>
          </cell>
          <cell r="M43" t="str">
            <v>Soy</v>
          </cell>
          <cell r="N43" t="str">
            <v>Rice</v>
          </cell>
        </row>
        <row r="44">
          <cell r="J44" t="str">
            <v>Blend X</v>
          </cell>
          <cell r="K44">
            <v>131.80000000000001</v>
          </cell>
          <cell r="L44">
            <v>135.4</v>
          </cell>
          <cell r="M44">
            <v>175.8</v>
          </cell>
          <cell r="N44">
            <v>141.19999999999999</v>
          </cell>
        </row>
        <row r="45">
          <cell r="J45" t="str">
            <v>Blend Y</v>
          </cell>
          <cell r="K45">
            <v>143.19999999999999</v>
          </cell>
          <cell r="L45">
            <v>159.6</v>
          </cell>
          <cell r="M45">
            <v>140.19999999999999</v>
          </cell>
          <cell r="N45">
            <v>165.4</v>
          </cell>
        </row>
        <row r="46">
          <cell r="J46" t="str">
            <v>Blend Z</v>
          </cell>
          <cell r="K46">
            <v>164.4</v>
          </cell>
          <cell r="L46">
            <v>173.6</v>
          </cell>
          <cell r="M46">
            <v>186.4</v>
          </cell>
          <cell r="N46">
            <v>172.4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EB4DD-7EC6-40D5-8E17-D93C5229033F}">
  <sheetPr codeName="Sheet1"/>
  <dimension ref="A1:B6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2" x14ac:dyDescent="0.35">
      <c r="A1" t="s">
        <v>61</v>
      </c>
    </row>
    <row r="2" spans="1:2" x14ac:dyDescent="0.35">
      <c r="A2" t="s">
        <v>64</v>
      </c>
    </row>
    <row r="4" spans="1:2" x14ac:dyDescent="0.35">
      <c r="A4" t="s">
        <v>62</v>
      </c>
      <c r="B4" s="75">
        <v>45962</v>
      </c>
    </row>
    <row r="6" spans="1:2" x14ac:dyDescent="0.35">
      <c r="A6" s="76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A995-A4E8-4E8B-A86B-90B1FB3F633A}">
  <sheetPr codeName="Sheet112"/>
  <dimension ref="A1:U47"/>
  <sheetViews>
    <sheetView zoomScaleNormal="100" workbookViewId="0"/>
  </sheetViews>
  <sheetFormatPr defaultRowHeight="14.5" x14ac:dyDescent="0.35"/>
  <cols>
    <col min="7" max="7" width="17.26953125" customWidth="1"/>
  </cols>
  <sheetData>
    <row r="1" spans="1:15" x14ac:dyDescent="0.35">
      <c r="A1" s="1" t="s">
        <v>0</v>
      </c>
      <c r="G1" t="s">
        <v>1</v>
      </c>
      <c r="O1" t="s">
        <v>2</v>
      </c>
    </row>
    <row r="3" spans="1:15" x14ac:dyDescent="0.35">
      <c r="B3" s="2" t="s">
        <v>3</v>
      </c>
      <c r="C3" s="3"/>
      <c r="D3" s="3"/>
      <c r="E3" s="4"/>
      <c r="G3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</row>
    <row r="4" spans="1:15" ht="15" thickBot="1" x14ac:dyDescent="0.4">
      <c r="A4" s="6" t="s">
        <v>10</v>
      </c>
      <c r="B4" s="7" t="s">
        <v>5</v>
      </c>
      <c r="C4" s="7" t="s">
        <v>6</v>
      </c>
      <c r="D4" s="7" t="s">
        <v>7</v>
      </c>
      <c r="E4" s="7" t="s">
        <v>8</v>
      </c>
      <c r="G4" s="8" t="s">
        <v>11</v>
      </c>
      <c r="H4" s="8"/>
      <c r="I4" s="8"/>
      <c r="J4" s="8"/>
      <c r="K4" s="8"/>
      <c r="L4" s="8"/>
    </row>
    <row r="5" spans="1:15" x14ac:dyDescent="0.35">
      <c r="A5" s="9" t="s">
        <v>11</v>
      </c>
      <c r="B5" s="10">
        <v>123</v>
      </c>
      <c r="C5" s="10">
        <v>128</v>
      </c>
      <c r="D5" s="10">
        <v>166</v>
      </c>
      <c r="E5" s="10">
        <v>151</v>
      </c>
      <c r="G5" t="s">
        <v>12</v>
      </c>
      <c r="H5">
        <f>COUNT(B5:B9)</f>
        <v>5</v>
      </c>
      <c r="I5">
        <f>COUNT(C5:C9)</f>
        <v>5</v>
      </c>
      <c r="J5">
        <f>COUNT(D5:D9)</f>
        <v>5</v>
      </c>
      <c r="K5">
        <f>COUNT(E5:E9)</f>
        <v>5</v>
      </c>
      <c r="L5">
        <f>SUM(H5:K5)</f>
        <v>20</v>
      </c>
    </row>
    <row r="6" spans="1:15" x14ac:dyDescent="0.35">
      <c r="A6" s="11"/>
      <c r="B6" s="12">
        <v>156</v>
      </c>
      <c r="C6" s="12">
        <v>150</v>
      </c>
      <c r="D6" s="12">
        <v>178</v>
      </c>
      <c r="E6" s="12">
        <v>125</v>
      </c>
      <c r="G6" t="s">
        <v>13</v>
      </c>
      <c r="H6">
        <f>SUM(B5:B9)</f>
        <v>659</v>
      </c>
      <c r="I6">
        <f>SUM(C5:C9)</f>
        <v>677</v>
      </c>
      <c r="J6">
        <f>SUM(D5:D9)</f>
        <v>879</v>
      </c>
      <c r="K6">
        <f>SUM(E5:E9)</f>
        <v>706</v>
      </c>
      <c r="L6">
        <f>SUM(B5:E9)</f>
        <v>2921</v>
      </c>
    </row>
    <row r="7" spans="1:15" x14ac:dyDescent="0.35">
      <c r="A7" s="11"/>
      <c r="B7" s="12">
        <v>112</v>
      </c>
      <c r="C7" s="12">
        <v>174</v>
      </c>
      <c r="D7" s="12">
        <v>187</v>
      </c>
      <c r="E7" s="12">
        <v>117</v>
      </c>
      <c r="G7" t="s">
        <v>14</v>
      </c>
      <c r="H7">
        <f>AVERAGE(B5:B9)</f>
        <v>131.80000000000001</v>
      </c>
      <c r="I7">
        <f>AVERAGE(C5:C9)</f>
        <v>135.4</v>
      </c>
      <c r="J7">
        <f>AVERAGE(D5:D9)</f>
        <v>175.8</v>
      </c>
      <c r="K7">
        <f>AVERAGE(E5:E9)</f>
        <v>141.19999999999999</v>
      </c>
      <c r="L7">
        <f>AVERAGE(B5:E9)</f>
        <v>146.05000000000001</v>
      </c>
    </row>
    <row r="8" spans="1:15" x14ac:dyDescent="0.35">
      <c r="A8" s="11"/>
      <c r="B8" s="12">
        <v>100</v>
      </c>
      <c r="C8" s="12">
        <v>116</v>
      </c>
      <c r="D8" s="12">
        <v>153</v>
      </c>
      <c r="E8" s="12">
        <v>155</v>
      </c>
      <c r="G8" t="s">
        <v>15</v>
      </c>
      <c r="H8">
        <f>VAR(B5:B9)</f>
        <v>844.20000000000073</v>
      </c>
      <c r="I8">
        <f>VAR(C5:C9)</f>
        <v>707.79999999999927</v>
      </c>
      <c r="J8">
        <f>VAR(D5:D9)</f>
        <v>278.7</v>
      </c>
      <c r="K8">
        <f>VAR(E5:E9)</f>
        <v>354.20000000000073</v>
      </c>
      <c r="L8">
        <f>VAR(B5:E9)</f>
        <v>782.3657894736848</v>
      </c>
    </row>
    <row r="9" spans="1:15" x14ac:dyDescent="0.35">
      <c r="A9" s="11"/>
      <c r="B9" s="13">
        <v>168</v>
      </c>
      <c r="C9" s="13">
        <v>109</v>
      </c>
      <c r="D9" s="13">
        <v>195</v>
      </c>
      <c r="E9" s="13">
        <v>158</v>
      </c>
    </row>
    <row r="10" spans="1:15" ht="15" thickBot="1" x14ac:dyDescent="0.4">
      <c r="A10" s="9" t="s">
        <v>16</v>
      </c>
      <c r="B10" s="10">
        <v>135</v>
      </c>
      <c r="C10" s="10">
        <v>175</v>
      </c>
      <c r="D10" s="10">
        <v>140</v>
      </c>
      <c r="E10" s="10">
        <v>167</v>
      </c>
      <c r="G10" s="8" t="s">
        <v>16</v>
      </c>
      <c r="H10" s="8"/>
      <c r="I10" s="8"/>
      <c r="J10" s="8"/>
      <c r="K10" s="8"/>
      <c r="L10" s="8"/>
    </row>
    <row r="11" spans="1:15" x14ac:dyDescent="0.35">
      <c r="A11" s="11"/>
      <c r="B11" s="12">
        <v>130</v>
      </c>
      <c r="C11" s="12">
        <v>132</v>
      </c>
      <c r="D11" s="12">
        <v>145</v>
      </c>
      <c r="E11" s="12">
        <v>183</v>
      </c>
      <c r="G11" t="s">
        <v>12</v>
      </c>
      <c r="H11" s="14">
        <f>COUNT(B10:B14)</f>
        <v>5</v>
      </c>
      <c r="I11" s="14">
        <f>COUNT(C10:C14)</f>
        <v>5</v>
      </c>
      <c r="J11" s="14">
        <f>COUNT(D10:D14)</f>
        <v>5</v>
      </c>
      <c r="K11" s="14">
        <f>COUNT(E10:E14)</f>
        <v>5</v>
      </c>
      <c r="L11">
        <f>SUM(H11:K11)</f>
        <v>20</v>
      </c>
    </row>
    <row r="12" spans="1:15" x14ac:dyDescent="0.35">
      <c r="A12" s="11"/>
      <c r="B12" s="12">
        <v>176</v>
      </c>
      <c r="C12" s="12">
        <v>120</v>
      </c>
      <c r="D12" s="12">
        <v>159</v>
      </c>
      <c r="E12" s="12">
        <v>142</v>
      </c>
      <c r="G12" t="s">
        <v>13</v>
      </c>
      <c r="H12">
        <f>SUM(B10:B14)</f>
        <v>716</v>
      </c>
      <c r="I12">
        <f>SUM(C10:C14)</f>
        <v>798</v>
      </c>
      <c r="J12">
        <f>SUM(D10:D14)</f>
        <v>701</v>
      </c>
      <c r="K12">
        <f>SUM(E10:E14)</f>
        <v>827</v>
      </c>
      <c r="L12">
        <f>SUM(B10:E14)</f>
        <v>3042</v>
      </c>
    </row>
    <row r="13" spans="1:15" x14ac:dyDescent="0.35">
      <c r="A13" s="11"/>
      <c r="B13" s="12">
        <v>120</v>
      </c>
      <c r="C13" s="12">
        <v>187</v>
      </c>
      <c r="D13" s="12">
        <v>131</v>
      </c>
      <c r="E13" s="12">
        <v>167</v>
      </c>
      <c r="G13" t="s">
        <v>14</v>
      </c>
      <c r="H13">
        <f>AVERAGE(B10:B14)</f>
        <v>143.19999999999999</v>
      </c>
      <c r="I13">
        <f>AVERAGE(C10:C14)</f>
        <v>159.6</v>
      </c>
      <c r="J13">
        <f>AVERAGE(D10:D14)</f>
        <v>140.19999999999999</v>
      </c>
      <c r="K13">
        <f>AVERAGE(E10:E14)</f>
        <v>165.4</v>
      </c>
      <c r="L13">
        <f>AVERAGE(B10:E14)</f>
        <v>152.1</v>
      </c>
    </row>
    <row r="14" spans="1:15" x14ac:dyDescent="0.35">
      <c r="A14" s="11"/>
      <c r="B14" s="13">
        <v>155</v>
      </c>
      <c r="C14" s="13">
        <v>184</v>
      </c>
      <c r="D14" s="13">
        <v>126</v>
      </c>
      <c r="E14" s="13">
        <v>168</v>
      </c>
      <c r="G14" t="s">
        <v>15</v>
      </c>
      <c r="H14">
        <f>VAR(B10:B14)</f>
        <v>498.70000000000073</v>
      </c>
      <c r="I14">
        <f>VAR(C10:C14)</f>
        <v>978.29999999999927</v>
      </c>
      <c r="J14">
        <f>VAR(D10:D14)</f>
        <v>165.7</v>
      </c>
      <c r="K14">
        <f>VAR(E10:E14)</f>
        <v>217.3</v>
      </c>
      <c r="L14">
        <f>VAR(B10:E14)</f>
        <v>511.04210526315728</v>
      </c>
    </row>
    <row r="15" spans="1:15" x14ac:dyDescent="0.35">
      <c r="A15" s="9" t="s">
        <v>17</v>
      </c>
      <c r="B15" s="10">
        <v>156</v>
      </c>
      <c r="C15" s="10">
        <v>186</v>
      </c>
      <c r="D15" s="10">
        <v>185</v>
      </c>
      <c r="E15" s="10">
        <v>175</v>
      </c>
    </row>
    <row r="16" spans="1:15" ht="15" thickBot="1" x14ac:dyDescent="0.4">
      <c r="A16" s="11"/>
      <c r="B16" s="12">
        <v>180</v>
      </c>
      <c r="C16" s="12">
        <v>138</v>
      </c>
      <c r="D16" s="12">
        <v>206</v>
      </c>
      <c r="E16" s="12">
        <v>173</v>
      </c>
      <c r="G16" s="8" t="s">
        <v>17</v>
      </c>
      <c r="H16" s="8"/>
      <c r="I16" s="8"/>
      <c r="J16" s="8"/>
      <c r="K16" s="8"/>
      <c r="L16" s="8"/>
    </row>
    <row r="17" spans="1:21" x14ac:dyDescent="0.35">
      <c r="A17" s="11"/>
      <c r="B17" s="12">
        <v>147</v>
      </c>
      <c r="C17" s="12">
        <v>178</v>
      </c>
      <c r="D17" s="12">
        <v>188</v>
      </c>
      <c r="E17" s="12">
        <v>154</v>
      </c>
      <c r="G17" t="s">
        <v>12</v>
      </c>
      <c r="H17">
        <f>COUNT(B15:B19)</f>
        <v>5</v>
      </c>
      <c r="I17">
        <f>COUNT(C15:C19)</f>
        <v>5</v>
      </c>
      <c r="J17">
        <f>COUNT(D15:D19)</f>
        <v>5</v>
      </c>
      <c r="K17">
        <f>COUNT(E15:E19)</f>
        <v>5</v>
      </c>
      <c r="L17">
        <f>SUM(H17:K17)</f>
        <v>20</v>
      </c>
    </row>
    <row r="18" spans="1:21" x14ac:dyDescent="0.35">
      <c r="A18" s="11"/>
      <c r="B18" s="12">
        <v>146</v>
      </c>
      <c r="C18" s="12">
        <v>176</v>
      </c>
      <c r="D18" s="12">
        <v>165</v>
      </c>
      <c r="E18" s="12">
        <v>191</v>
      </c>
      <c r="G18" t="s">
        <v>13</v>
      </c>
      <c r="H18">
        <f>SUM(B15:B19)</f>
        <v>822</v>
      </c>
      <c r="I18">
        <f>SUM(C15:C19)</f>
        <v>868</v>
      </c>
      <c r="J18">
        <f>SUM(D15:D19)</f>
        <v>932</v>
      </c>
      <c r="K18">
        <f>SUM(E15:E19)</f>
        <v>862</v>
      </c>
      <c r="L18">
        <f>SUM(B15:E19)</f>
        <v>3484</v>
      </c>
    </row>
    <row r="19" spans="1:21" x14ac:dyDescent="0.35">
      <c r="A19" s="15"/>
      <c r="B19" s="13">
        <v>193</v>
      </c>
      <c r="C19" s="13">
        <v>190</v>
      </c>
      <c r="D19" s="13">
        <v>188</v>
      </c>
      <c r="E19" s="13">
        <v>169</v>
      </c>
      <c r="G19" t="s">
        <v>14</v>
      </c>
      <c r="H19">
        <f>AVERAGE(B15:B19)</f>
        <v>164.4</v>
      </c>
      <c r="I19">
        <f>AVERAGE(C15:C19)</f>
        <v>173.6</v>
      </c>
      <c r="J19">
        <f>AVERAGE(D15:D19)</f>
        <v>186.4</v>
      </c>
      <c r="K19">
        <f>AVERAGE(E15:E19)</f>
        <v>172.4</v>
      </c>
      <c r="L19">
        <f>AVERAGE(B15:E19)</f>
        <v>174.2</v>
      </c>
    </row>
    <row r="20" spans="1:21" x14ac:dyDescent="0.35">
      <c r="G20" t="s">
        <v>15</v>
      </c>
      <c r="H20">
        <f>VAR(B15:B19)</f>
        <v>443.30000000000291</v>
      </c>
      <c r="I20">
        <f>VAR(C15:C19)</f>
        <v>428.80000000000291</v>
      </c>
      <c r="J20">
        <f>VAR(D15:D19)</f>
        <v>212.3</v>
      </c>
      <c r="K20">
        <f>VAR(E15:E19)</f>
        <v>175.8</v>
      </c>
      <c r="L20">
        <f>VAR(B15:E19)</f>
        <v>330.69473684210283</v>
      </c>
    </row>
    <row r="22" spans="1:21" ht="15" thickBot="1" x14ac:dyDescent="0.4">
      <c r="G22" s="8" t="s">
        <v>9</v>
      </c>
      <c r="H22" s="8"/>
      <c r="I22" s="8"/>
      <c r="J22" s="8"/>
      <c r="K22" s="8"/>
      <c r="L22" s="8"/>
    </row>
    <row r="23" spans="1:21" x14ac:dyDescent="0.35">
      <c r="G23" t="s">
        <v>12</v>
      </c>
      <c r="H23">
        <f>COUNT(B5:B19)</f>
        <v>15</v>
      </c>
      <c r="I23">
        <f>COUNT(C5:C19)</f>
        <v>15</v>
      </c>
      <c r="J23">
        <f>COUNT(D5:D19)</f>
        <v>15</v>
      </c>
      <c r="K23">
        <f>COUNT(E5:E19)</f>
        <v>15</v>
      </c>
      <c r="L23">
        <f>SUM(H23:K23)</f>
        <v>60</v>
      </c>
    </row>
    <row r="24" spans="1:21" x14ac:dyDescent="0.35">
      <c r="G24" t="s">
        <v>13</v>
      </c>
      <c r="H24">
        <f>SUM(B5:B19)</f>
        <v>2197</v>
      </c>
      <c r="I24">
        <f>SUM(C5:C19)</f>
        <v>2343</v>
      </c>
      <c r="J24">
        <f>SUM(D5:D19)</f>
        <v>2512</v>
      </c>
      <c r="K24">
        <f>SUM(E5:E19)</f>
        <v>2395</v>
      </c>
      <c r="L24">
        <f>SUM(H24:K24)</f>
        <v>9447</v>
      </c>
    </row>
    <row r="25" spans="1:21" x14ac:dyDescent="0.35">
      <c r="G25" t="s">
        <v>14</v>
      </c>
      <c r="H25">
        <f>AVERAGE(B5:B19)</f>
        <v>146.46666666666667</v>
      </c>
      <c r="I25">
        <f>AVERAGE(C5:C19)</f>
        <v>156.19999999999999</v>
      </c>
      <c r="J25">
        <f>AVERAGE(D5:D19)</f>
        <v>167.46666666666667</v>
      </c>
      <c r="K25">
        <f>AVERAGE(E5:E19)</f>
        <v>159.66666666666666</v>
      </c>
      <c r="L25">
        <f>AVERAGE(B5:E19)</f>
        <v>157.44999999999999</v>
      </c>
    </row>
    <row r="26" spans="1:21" x14ac:dyDescent="0.35">
      <c r="G26" t="s">
        <v>15</v>
      </c>
      <c r="H26">
        <f>VAR(B5:B19)</f>
        <v>705.83809523809555</v>
      </c>
      <c r="I26">
        <f>VAR(C5:C19)</f>
        <v>871.02857142857306</v>
      </c>
      <c r="J26">
        <f>VAR(D5:D19)</f>
        <v>605.98095238095266</v>
      </c>
      <c r="K26">
        <f>VAR(E5:E19)</f>
        <v>404.95238095237954</v>
      </c>
      <c r="L26">
        <f>VAR(B5:E19)</f>
        <v>671.87881355932359</v>
      </c>
      <c r="P26" t="s">
        <v>18</v>
      </c>
    </row>
    <row r="28" spans="1:21" ht="15" thickBot="1" x14ac:dyDescent="0.4">
      <c r="G28" t="s">
        <v>19</v>
      </c>
      <c r="P28" t="s">
        <v>19</v>
      </c>
    </row>
    <row r="29" spans="1:21" x14ac:dyDescent="0.35">
      <c r="G29" s="16" t="s">
        <v>20</v>
      </c>
      <c r="H29" s="16" t="s">
        <v>21</v>
      </c>
      <c r="I29" s="16" t="s">
        <v>22</v>
      </c>
      <c r="J29" s="16" t="s">
        <v>23</v>
      </c>
      <c r="K29" s="16" t="s">
        <v>24</v>
      </c>
      <c r="L29" s="16" t="s">
        <v>25</v>
      </c>
      <c r="M29" s="16" t="s">
        <v>26</v>
      </c>
      <c r="P29" s="16" t="s">
        <v>27</v>
      </c>
      <c r="Q29" s="16" t="s">
        <v>21</v>
      </c>
      <c r="R29" s="16" t="s">
        <v>22</v>
      </c>
      <c r="S29" s="16" t="s">
        <v>23</v>
      </c>
      <c r="T29" s="16" t="s">
        <v>24</v>
      </c>
      <c r="U29" s="16" t="s">
        <v>25</v>
      </c>
    </row>
    <row r="30" spans="1:21" x14ac:dyDescent="0.35">
      <c r="G30" t="s">
        <v>28</v>
      </c>
      <c r="H30">
        <f>DEVSQ(H39:H41)/L5</f>
        <v>8782.9</v>
      </c>
      <c r="I30">
        <f>COUNTA(G39:G41)-1</f>
        <v>2</v>
      </c>
      <c r="J30">
        <f>H30/I30</f>
        <v>4391.45</v>
      </c>
      <c r="K30">
        <f>J30/J$33</f>
        <v>9.9333471565097717</v>
      </c>
      <c r="L30">
        <f>FDIST(K30,I30,I$33)</f>
        <v>2.4548728137133413E-4</v>
      </c>
      <c r="M30">
        <f>FINV(0.05,I30,I$33)</f>
        <v>3.1907273359284987</v>
      </c>
      <c r="P30" t="s">
        <v>10</v>
      </c>
      <c r="Q30" t="e">
        <f ca="1">SSRow(B5:E19,5)</f>
        <v>#NAME?</v>
      </c>
      <c r="R30" t="e">
        <f ca="1">dfRow(B5:E19,5)</f>
        <v>#NAME?</v>
      </c>
      <c r="S30" t="e">
        <f ca="1">MSRow(B5:E19,5)</f>
        <v>#NAME?</v>
      </c>
      <c r="T30" t="e">
        <f ca="1">ANOVARow(B5:E19,5)</f>
        <v>#NAME?</v>
      </c>
      <c r="U30" t="e">
        <f ca="1">ATESTRow(B5:E19,5)</f>
        <v>#NAME?</v>
      </c>
    </row>
    <row r="31" spans="1:21" x14ac:dyDescent="0.35">
      <c r="G31" t="s">
        <v>29</v>
      </c>
      <c r="H31">
        <f>DEVSQ(H44:H47)/H23</f>
        <v>3411.65</v>
      </c>
      <c r="I31">
        <f>COUNTA(G44:G47)-1</f>
        <v>3</v>
      </c>
      <c r="J31">
        <f>H31/I31</f>
        <v>1137.2166666666667</v>
      </c>
      <c r="K31">
        <f>J31/J$33</f>
        <v>2.5723549037718416</v>
      </c>
      <c r="L31">
        <f>FDIST(K31,I31,I$33)</f>
        <v>6.4943822161567036E-2</v>
      </c>
      <c r="M31">
        <f>FINV(0.05,I31,I$33)</f>
        <v>2.7980606354356103</v>
      </c>
      <c r="P31" t="s">
        <v>30</v>
      </c>
      <c r="Q31" t="e">
        <f ca="1">SSCol(B5:E19,5)</f>
        <v>#NAME?</v>
      </c>
      <c r="R31" t="e">
        <f ca="1">dfCol(B5:E19,5)</f>
        <v>#NAME?</v>
      </c>
      <c r="S31" t="e">
        <f ca="1">MSCol(B5:E19,5)</f>
        <v>#NAME?</v>
      </c>
      <c r="T31" t="e">
        <f ca="1">ANOVACol(B5:E19,5)</f>
        <v>#NAME?</v>
      </c>
      <c r="U31" t="e">
        <f ca="1">ATESTCol(B5:E19,5)</f>
        <v>#NAME?</v>
      </c>
    </row>
    <row r="32" spans="1:21" x14ac:dyDescent="0.35">
      <c r="G32" t="s">
        <v>2</v>
      </c>
      <c r="H32">
        <f>H35-H30-H31-H33</f>
        <v>6225.899999999976</v>
      </c>
      <c r="I32">
        <f>I30*I31</f>
        <v>6</v>
      </c>
      <c r="J32">
        <f>H32/I32</f>
        <v>1037.649999999996</v>
      </c>
      <c r="K32">
        <f>J32/J$33</f>
        <v>2.3471376599875495</v>
      </c>
      <c r="L32">
        <f>FDIST(K32,I32,I$33)</f>
        <v>4.5555492136473183E-2</v>
      </c>
      <c r="M32">
        <f>FINV(0.05,I32,I$33)</f>
        <v>2.29460131347063</v>
      </c>
      <c r="P32" t="s">
        <v>31</v>
      </c>
      <c r="Q32" t="e">
        <f ca="1">SSInt(B5:E19,5)</f>
        <v>#NAME?</v>
      </c>
      <c r="R32" t="e">
        <f ca="1">dfInt(B5:E19,5)</f>
        <v>#NAME?</v>
      </c>
      <c r="S32" t="e">
        <f ca="1">MSInt(B5:E19,5)</f>
        <v>#NAME?</v>
      </c>
      <c r="T32" t="e">
        <f ca="1">ANOVAInt(B5:E19,5)</f>
        <v>#NAME?</v>
      </c>
      <c r="U32" t="e">
        <f ca="1">ATESTInt(B5:E19,5)</f>
        <v>#NAME?</v>
      </c>
    </row>
    <row r="33" spans="5:21" x14ac:dyDescent="0.35">
      <c r="G33" t="s">
        <v>32</v>
      </c>
      <c r="H33">
        <f>SUM(K39:N41)</f>
        <v>21220.400000000005</v>
      </c>
      <c r="I33">
        <f>COUNT(B5:E19)-COUNTA(G39:G41)*COUNTA(G44:G47)</f>
        <v>48</v>
      </c>
      <c r="J33">
        <f>H33/I33</f>
        <v>442.09166666666675</v>
      </c>
      <c r="P33" t="s">
        <v>32</v>
      </c>
      <c r="Q33" t="e">
        <f ca="1">SSWF(B5:E19,5)</f>
        <v>#NAME?</v>
      </c>
      <c r="R33" t="e">
        <f ca="1">dfWF(B5:E19,5)</f>
        <v>#NAME?</v>
      </c>
      <c r="S33" t="e">
        <f ca="1">MSWF(B5:E19,5)</f>
        <v>#NAME?</v>
      </c>
    </row>
    <row r="34" spans="5:21" ht="15" thickBot="1" x14ac:dyDescent="0.4">
      <c r="P34" s="17" t="s">
        <v>9</v>
      </c>
      <c r="Q34" s="17" t="e">
        <f ca="1">SSTot(B5:E19,5)</f>
        <v>#NAME?</v>
      </c>
      <c r="R34" s="17" t="e">
        <f ca="1">dfTot(B5:E19,5)</f>
        <v>#NAME?</v>
      </c>
      <c r="S34" s="17" t="e">
        <f ca="1">MSTot(B5:E19,5)</f>
        <v>#NAME?</v>
      </c>
      <c r="T34" s="17"/>
      <c r="U34" s="17"/>
    </row>
    <row r="35" spans="5:21" ht="15" thickBot="1" x14ac:dyDescent="0.4">
      <c r="G35" s="17" t="s">
        <v>9</v>
      </c>
      <c r="H35" s="17">
        <f>DEVSQ(B5:E19)</f>
        <v>39640.849999999984</v>
      </c>
      <c r="I35" s="17">
        <f>COUNT(B5:E19)-1</f>
        <v>59</v>
      </c>
      <c r="J35" s="17"/>
      <c r="K35" s="17"/>
      <c r="L35" s="17"/>
      <c r="M35" s="17"/>
    </row>
    <row r="37" spans="5:21" ht="15" thickBot="1" x14ac:dyDescent="0.4">
      <c r="E37" s="18"/>
      <c r="P37" s="19" t="s">
        <v>33</v>
      </c>
    </row>
    <row r="38" spans="5:21" x14ac:dyDescent="0.35">
      <c r="G38" s="16" t="s">
        <v>34</v>
      </c>
      <c r="H38" s="16" t="s">
        <v>13</v>
      </c>
      <c r="J38" s="5" t="s">
        <v>35</v>
      </c>
      <c r="K38" s="20" t="s">
        <v>5</v>
      </c>
      <c r="L38" s="20" t="s">
        <v>6</v>
      </c>
      <c r="M38" s="20" t="s">
        <v>7</v>
      </c>
      <c r="N38" s="20" t="s">
        <v>8</v>
      </c>
    </row>
    <row r="39" spans="5:21" x14ac:dyDescent="0.35">
      <c r="G39" t="s">
        <v>11</v>
      </c>
      <c r="H39">
        <f>SUM(B5:E9)</f>
        <v>2921</v>
      </c>
      <c r="J39" t="s">
        <v>11</v>
      </c>
      <c r="K39" s="9">
        <f>DEVSQ(B5:B9)</f>
        <v>3376.7999999999997</v>
      </c>
      <c r="L39" s="21">
        <f>DEVSQ(C5:C9)</f>
        <v>2831.2</v>
      </c>
      <c r="M39" s="21">
        <f>DEVSQ(D5:D9)</f>
        <v>1114.8</v>
      </c>
      <c r="N39" s="22">
        <f>DEVSQ(E5:E9)</f>
        <v>1416.8000000000002</v>
      </c>
      <c r="P39" t="s">
        <v>36</v>
      </c>
      <c r="Q39" s="10">
        <f>DEVSQ(K44:N46)*H5</f>
        <v>18420.450000000004</v>
      </c>
    </row>
    <row r="40" spans="5:21" x14ac:dyDescent="0.35">
      <c r="G40" s="19" t="s">
        <v>16</v>
      </c>
      <c r="H40">
        <f>SUM(B10:E14)</f>
        <v>3042</v>
      </c>
      <c r="J40" t="s">
        <v>16</v>
      </c>
      <c r="K40" s="11">
        <f>DEVSQ(B10:B14)</f>
        <v>1994.8000000000002</v>
      </c>
      <c r="L40">
        <f>DEVSQ(C10:C14)</f>
        <v>3913.2</v>
      </c>
      <c r="M40">
        <f>DEVSQ(D10:D14)</f>
        <v>662.8</v>
      </c>
      <c r="N40" s="23">
        <f>DEVSQ(E10:E14)</f>
        <v>869.2</v>
      </c>
      <c r="P40" t="s">
        <v>37</v>
      </c>
      <c r="Q40" s="12">
        <f>H35</f>
        <v>39640.849999999984</v>
      </c>
    </row>
    <row r="41" spans="5:21" ht="15" thickBot="1" x14ac:dyDescent="0.4">
      <c r="G41" s="17" t="s">
        <v>17</v>
      </c>
      <c r="H41" s="17">
        <f>SUM(B15:E19)</f>
        <v>3484</v>
      </c>
      <c r="J41" t="s">
        <v>17</v>
      </c>
      <c r="K41" s="15">
        <f>DEVSQ(B15:B19)</f>
        <v>1773.1999999999998</v>
      </c>
      <c r="L41" s="24">
        <f>DEVSQ(C15:C19)</f>
        <v>1715.2000000000003</v>
      </c>
      <c r="M41" s="24">
        <f>DEVSQ(D15:D19)</f>
        <v>849.2</v>
      </c>
      <c r="N41" s="25">
        <f>DEVSQ(E15:E19)</f>
        <v>703.2</v>
      </c>
      <c r="P41" t="s">
        <v>35</v>
      </c>
      <c r="Q41" s="13">
        <f>Q40-Q39</f>
        <v>21220.39999999998</v>
      </c>
    </row>
    <row r="42" spans="5:21" ht="15" thickBot="1" x14ac:dyDescent="0.4"/>
    <row r="43" spans="5:21" x14ac:dyDescent="0.35">
      <c r="G43" s="16" t="s">
        <v>38</v>
      </c>
      <c r="H43" s="16" t="s">
        <v>13</v>
      </c>
      <c r="J43" s="5" t="s">
        <v>39</v>
      </c>
      <c r="K43" s="20" t="s">
        <v>5</v>
      </c>
      <c r="L43" s="20" t="s">
        <v>6</v>
      </c>
      <c r="M43" s="20" t="s">
        <v>7</v>
      </c>
      <c r="N43" s="20" t="s">
        <v>8</v>
      </c>
    </row>
    <row r="44" spans="5:21" x14ac:dyDescent="0.35">
      <c r="G44" t="s">
        <v>5</v>
      </c>
      <c r="H44">
        <f>SUM(B5:B19)</f>
        <v>2197</v>
      </c>
      <c r="J44" t="s">
        <v>11</v>
      </c>
      <c r="K44" s="9">
        <f>AVERAGE(B5:B9)</f>
        <v>131.80000000000001</v>
      </c>
      <c r="L44" s="21">
        <f>AVERAGE(C5:C9)</f>
        <v>135.4</v>
      </c>
      <c r="M44" s="21">
        <f>AVERAGE(D5:D9)</f>
        <v>175.8</v>
      </c>
      <c r="N44" s="22">
        <f>AVERAGE(E5:E9)</f>
        <v>141.19999999999999</v>
      </c>
    </row>
    <row r="45" spans="5:21" x14ac:dyDescent="0.35">
      <c r="G45" s="19" t="s">
        <v>6</v>
      </c>
      <c r="H45">
        <f>SUM(C5:C19)</f>
        <v>2343</v>
      </c>
      <c r="J45" t="s">
        <v>16</v>
      </c>
      <c r="K45" s="11">
        <f>AVERAGE(B10:B14)</f>
        <v>143.19999999999999</v>
      </c>
      <c r="L45">
        <f>AVERAGE(C10:C14)</f>
        <v>159.6</v>
      </c>
      <c r="M45">
        <f>AVERAGE(D10:D14)</f>
        <v>140.19999999999999</v>
      </c>
      <c r="N45" s="23">
        <f>AVERAGE(E10:E14)</f>
        <v>165.4</v>
      </c>
    </row>
    <row r="46" spans="5:21" x14ac:dyDescent="0.35">
      <c r="G46" t="s">
        <v>7</v>
      </c>
      <c r="H46">
        <f>SUM(D5:D19)</f>
        <v>2512</v>
      </c>
      <c r="J46" t="s">
        <v>17</v>
      </c>
      <c r="K46" s="15">
        <f>AVERAGE(B15:B19)</f>
        <v>164.4</v>
      </c>
      <c r="L46" s="24">
        <f>AVERAGE(C15:C19)</f>
        <v>173.6</v>
      </c>
      <c r="M46" s="24">
        <f>AVERAGE(D15:D19)</f>
        <v>186.4</v>
      </c>
      <c r="N46" s="25">
        <f>AVERAGE(E15:E19)</f>
        <v>172.4</v>
      </c>
    </row>
    <row r="47" spans="5:21" ht="15" thickBot="1" x14ac:dyDescent="0.4">
      <c r="G47" s="17" t="s">
        <v>8</v>
      </c>
      <c r="H47" s="17">
        <f>SUM(E5:E19)</f>
        <v>2395</v>
      </c>
      <c r="K47" s="18"/>
    </row>
  </sheetData>
  <mergeCells count="1">
    <mergeCell ref="B3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9DAAB-AFB5-4CB2-BD0D-89F2D85FEF6F}">
  <sheetPr codeName="Sheet254"/>
  <dimension ref="A1:Y23"/>
  <sheetViews>
    <sheetView workbookViewId="0">
      <selection activeCell="A2" sqref="A2"/>
    </sheetView>
  </sheetViews>
  <sheetFormatPr defaultRowHeight="14.5" x14ac:dyDescent="0.35"/>
  <cols>
    <col min="1" max="1" width="7.81640625" customWidth="1"/>
    <col min="2" max="5" width="6.36328125" customWidth="1"/>
    <col min="6" max="6" width="4.1796875" customWidth="1"/>
    <col min="8" max="11" width="7.08984375" customWidth="1"/>
    <col min="13" max="13" width="4.1796875" customWidth="1"/>
    <col min="16" max="16" width="4.90625" customWidth="1"/>
    <col min="20" max="20" width="8.7265625" customWidth="1"/>
  </cols>
  <sheetData>
    <row r="1" spans="1:25" x14ac:dyDescent="0.35">
      <c r="A1" s="1" t="s">
        <v>40</v>
      </c>
      <c r="G1" t="s">
        <v>41</v>
      </c>
      <c r="N1" t="s">
        <v>42</v>
      </c>
      <c r="V1" t="s">
        <v>43</v>
      </c>
    </row>
    <row r="3" spans="1:25" ht="15" thickBot="1" x14ac:dyDescent="0.4">
      <c r="B3" s="2" t="s">
        <v>3</v>
      </c>
      <c r="C3" s="3"/>
      <c r="D3" s="3"/>
      <c r="E3" s="4"/>
      <c r="G3" t="s">
        <v>44</v>
      </c>
      <c r="H3" t="str">
        <f>IF(COUNTIF(H5:K7,H5)=COUNT(H5:K7),"balanced","unbalanced")</f>
        <v>balanced</v>
      </c>
      <c r="N3" t="s">
        <v>19</v>
      </c>
      <c r="R3" s="20" t="s">
        <v>45</v>
      </c>
      <c r="S3" s="20">
        <v>0.05</v>
      </c>
      <c r="W3" s="26" t="str">
        <f>A5</f>
        <v>Blend X</v>
      </c>
      <c r="X3" s="26" t="str">
        <f>A10</f>
        <v>Blend Y</v>
      </c>
      <c r="Y3" s="26" t="str">
        <f>A15</f>
        <v>Blend Z</v>
      </c>
    </row>
    <row r="4" spans="1:25" ht="15" thickTop="1" x14ac:dyDescent="0.35">
      <c r="A4" s="6" t="s">
        <v>10</v>
      </c>
      <c r="B4" s="7" t="s">
        <v>5</v>
      </c>
      <c r="C4" s="7" t="s">
        <v>6</v>
      </c>
      <c r="D4" s="7" t="s">
        <v>7</v>
      </c>
      <c r="E4" s="7" t="s">
        <v>8</v>
      </c>
      <c r="H4" s="20" t="str">
        <f>B4</f>
        <v>Wheat</v>
      </c>
      <c r="I4" s="20" t="str">
        <f>C4</f>
        <v>Corn</v>
      </c>
      <c r="J4" s="20" t="str">
        <f>D4</f>
        <v>Soy</v>
      </c>
      <c r="K4" s="20" t="str">
        <f>E4</f>
        <v>Rice</v>
      </c>
      <c r="N4" s="27"/>
      <c r="O4" s="27" t="s">
        <v>21</v>
      </c>
      <c r="P4" s="27" t="s">
        <v>22</v>
      </c>
      <c r="Q4" s="27" t="s">
        <v>23</v>
      </c>
      <c r="R4" s="27" t="s">
        <v>24</v>
      </c>
      <c r="S4" s="27" t="s">
        <v>46</v>
      </c>
      <c r="T4" s="27" t="s">
        <v>47</v>
      </c>
      <c r="V4" s="28" t="str">
        <f>B4</f>
        <v>Wheat</v>
      </c>
      <c r="W4" s="28">
        <f>IF(B5="","",B5)</f>
        <v>123</v>
      </c>
      <c r="X4" s="28">
        <f>IF(B10="","",B10)</f>
        <v>135</v>
      </c>
      <c r="Y4" s="28">
        <f>IF(B15="","",B15)</f>
        <v>156</v>
      </c>
    </row>
    <row r="5" spans="1:25" x14ac:dyDescent="0.35">
      <c r="A5" s="9" t="s">
        <v>11</v>
      </c>
      <c r="B5" s="10">
        <v>123</v>
      </c>
      <c r="C5" s="10">
        <v>128</v>
      </c>
      <c r="D5" s="10">
        <v>166</v>
      </c>
      <c r="E5" s="10">
        <v>151</v>
      </c>
      <c r="G5" t="str">
        <f>A5</f>
        <v>Blend X</v>
      </c>
      <c r="H5" s="29">
        <f>COUNT(B5:B9)</f>
        <v>5</v>
      </c>
      <c r="I5" s="30">
        <f>COUNT(C5:C9)</f>
        <v>5</v>
      </c>
      <c r="J5" s="30">
        <f>COUNT(D5:D9)</f>
        <v>5</v>
      </c>
      <c r="K5" s="31">
        <f>COUNT(E5:E9)</f>
        <v>5</v>
      </c>
      <c r="L5">
        <f>COUNT(B5:E9)</f>
        <v>20</v>
      </c>
      <c r="N5" t="s">
        <v>48</v>
      </c>
      <c r="O5">
        <f>DEVSQ(L12:L14)*L5</f>
        <v>8782.8999999999887</v>
      </c>
      <c r="P5">
        <f>COUNT(L12:L14)-1</f>
        <v>2</v>
      </c>
      <c r="Q5">
        <f>O5/P5</f>
        <v>4391.4499999999944</v>
      </c>
      <c r="R5">
        <f>Q5/Q8</f>
        <v>9.9333471565097486</v>
      </c>
      <c r="S5">
        <f>FDIST(R5,P5,P8)</f>
        <v>2.4548728137133846E-4</v>
      </c>
      <c r="T5">
        <f>O5/(O5+O8)</f>
        <v>0.29273113290871283</v>
      </c>
      <c r="V5" s="32"/>
      <c r="W5" s="32">
        <f>IF(B6="","",B6)</f>
        <v>156</v>
      </c>
      <c r="X5" s="32">
        <f>IF(B11="","",B11)</f>
        <v>130</v>
      </c>
      <c r="Y5" s="32">
        <f>IF(B16="","",B16)</f>
        <v>180</v>
      </c>
    </row>
    <row r="6" spans="1:25" x14ac:dyDescent="0.35">
      <c r="A6" s="11"/>
      <c r="B6" s="12">
        <v>156</v>
      </c>
      <c r="C6" s="12">
        <v>150</v>
      </c>
      <c r="D6" s="12">
        <v>178</v>
      </c>
      <c r="E6" s="12">
        <v>125</v>
      </c>
      <c r="G6" t="str">
        <f>A10</f>
        <v>Blend Y</v>
      </c>
      <c r="H6" s="33">
        <f>COUNT(B10:B14)</f>
        <v>5</v>
      </c>
      <c r="I6">
        <f>COUNT(C10:C14)</f>
        <v>5</v>
      </c>
      <c r="J6">
        <f>COUNT(D10:D14)</f>
        <v>5</v>
      </c>
      <c r="K6" s="34">
        <f>COUNT(E10:E14)</f>
        <v>5</v>
      </c>
      <c r="L6">
        <f>COUNT(B10:E14)</f>
        <v>20</v>
      </c>
      <c r="N6" t="s">
        <v>49</v>
      </c>
      <c r="O6">
        <f>DEVSQ(H15:K15)*H8</f>
        <v>3411.65</v>
      </c>
      <c r="P6">
        <f>COUNT(H15:K15)-1</f>
        <v>3</v>
      </c>
      <c r="Q6">
        <f>O6/P6</f>
        <v>1137.2166666666667</v>
      </c>
      <c r="R6">
        <f>Q6/Q8</f>
        <v>2.572354903771839</v>
      </c>
      <c r="S6">
        <f>FDIST(R6,P6,P8)</f>
        <v>6.4943822161567188E-2</v>
      </c>
      <c r="T6">
        <f>O6/(O6+O8)</f>
        <v>0.13850450936889119</v>
      </c>
      <c r="V6" s="32"/>
      <c r="W6" s="32">
        <f>IF(B7="","",B7)</f>
        <v>112</v>
      </c>
      <c r="X6" s="32">
        <f>IF(B12="","",B12)</f>
        <v>176</v>
      </c>
      <c r="Y6" s="32">
        <f>IF(B17="","",B17)</f>
        <v>147</v>
      </c>
    </row>
    <row r="7" spans="1:25" x14ac:dyDescent="0.35">
      <c r="A7" s="35"/>
      <c r="B7" s="36">
        <v>112</v>
      </c>
      <c r="C7" s="36">
        <v>174</v>
      </c>
      <c r="D7" s="36">
        <v>187</v>
      </c>
      <c r="E7" s="36">
        <v>117</v>
      </c>
      <c r="G7" t="str">
        <f>A15</f>
        <v>Blend Z</v>
      </c>
      <c r="H7" s="37">
        <f>COUNT(B15:B19)</f>
        <v>5</v>
      </c>
      <c r="I7" s="38">
        <f>COUNT(C15:C19)</f>
        <v>5</v>
      </c>
      <c r="J7" s="38">
        <f>COUNT(D15:D19)</f>
        <v>5</v>
      </c>
      <c r="K7" s="39">
        <f>COUNT(E15:E19)</f>
        <v>5</v>
      </c>
      <c r="L7">
        <f>COUNT(B15:E19)</f>
        <v>20</v>
      </c>
      <c r="N7" t="s">
        <v>31</v>
      </c>
      <c r="O7">
        <f>O9-O5-O6-O8</f>
        <v>6225.9000000000779</v>
      </c>
      <c r="P7">
        <f>P6*P5</f>
        <v>6</v>
      </c>
      <c r="Q7">
        <f>O7/P7</f>
        <v>1037.6500000000131</v>
      </c>
      <c r="R7">
        <f>Q7/Q8</f>
        <v>2.3471376599875859</v>
      </c>
      <c r="S7">
        <f>FDIST(R7,P7,P8)</f>
        <v>4.5555492136470324E-2</v>
      </c>
      <c r="T7">
        <f>O7/(O7+O8)</f>
        <v>0.22683931896102769</v>
      </c>
      <c r="V7" s="40"/>
      <c r="W7" s="40">
        <f>IF(B8="","",B8)</f>
        <v>100</v>
      </c>
      <c r="X7" s="40">
        <f>IF(B13="","",B13)</f>
        <v>120</v>
      </c>
      <c r="Y7" s="40">
        <f>IF(B18="","",B18)</f>
        <v>146</v>
      </c>
    </row>
    <row r="8" spans="1:25" x14ac:dyDescent="0.35">
      <c r="A8" s="41"/>
      <c r="B8" s="42">
        <v>100</v>
      </c>
      <c r="C8" s="42">
        <v>116</v>
      </c>
      <c r="D8" s="42">
        <v>153</v>
      </c>
      <c r="E8" s="42">
        <v>155</v>
      </c>
      <c r="H8">
        <f>COUNT(B5:B19)</f>
        <v>15</v>
      </c>
      <c r="I8">
        <f>COUNT(C5:C19)</f>
        <v>15</v>
      </c>
      <c r="J8">
        <f>COUNT(D5:D19)</f>
        <v>15</v>
      </c>
      <c r="K8">
        <f>COUNT(E5:E19)</f>
        <v>15</v>
      </c>
      <c r="L8">
        <f>COUNT(B5:E19)</f>
        <v>60</v>
      </c>
      <c r="N8" t="s">
        <v>32</v>
      </c>
      <c r="O8">
        <f>SUM(H19:K21)*(H5-1)</f>
        <v>21220.400000000027</v>
      </c>
      <c r="P8">
        <f>P9-P5-P6-P7</f>
        <v>48</v>
      </c>
      <c r="Q8">
        <f>O8/P8</f>
        <v>442.09166666666721</v>
      </c>
      <c r="V8" s="43"/>
      <c r="W8" s="43">
        <f>IF(B9="","",B9)</f>
        <v>168</v>
      </c>
      <c r="X8" s="43">
        <f>IF(B14="","",B14)</f>
        <v>155</v>
      </c>
      <c r="Y8" s="43">
        <f>IF(B19="","",B19)</f>
        <v>193</v>
      </c>
    </row>
    <row r="9" spans="1:25" x14ac:dyDescent="0.35">
      <c r="A9" s="41"/>
      <c r="B9" s="13">
        <v>168</v>
      </c>
      <c r="C9" s="13">
        <v>109</v>
      </c>
      <c r="D9" s="13">
        <v>195</v>
      </c>
      <c r="E9" s="13">
        <v>158</v>
      </c>
      <c r="N9" s="24" t="s">
        <v>9</v>
      </c>
      <c r="O9" s="24">
        <f>Q9*P9</f>
        <v>39640.850000000093</v>
      </c>
      <c r="P9" s="24">
        <f>L8-1</f>
        <v>59</v>
      </c>
      <c r="Q9" s="24">
        <f>L22</f>
        <v>671.87881355932359</v>
      </c>
      <c r="R9" s="24"/>
      <c r="S9" s="24"/>
      <c r="T9" s="24"/>
      <c r="V9" s="44" t="str">
        <f>C4</f>
        <v>Corn</v>
      </c>
      <c r="W9" s="44">
        <f>IF(C5="","",C5)</f>
        <v>128</v>
      </c>
      <c r="X9" s="44">
        <f>IF(C10="","",C10)</f>
        <v>175</v>
      </c>
      <c r="Y9" s="44">
        <f>IF(C15="","",C15)</f>
        <v>186</v>
      </c>
    </row>
    <row r="10" spans="1:25" x14ac:dyDescent="0.35">
      <c r="A10" s="9" t="s">
        <v>16</v>
      </c>
      <c r="B10" s="10">
        <v>135</v>
      </c>
      <c r="C10" s="10">
        <v>175</v>
      </c>
      <c r="D10" s="10">
        <v>140</v>
      </c>
      <c r="E10" s="10">
        <v>167</v>
      </c>
      <c r="G10" t="s">
        <v>50</v>
      </c>
      <c r="V10" s="45"/>
      <c r="W10" s="45">
        <f>IF(C6="","",C6)</f>
        <v>150</v>
      </c>
      <c r="X10" s="45">
        <f>IF(C11="","",C11)</f>
        <v>132</v>
      </c>
      <c r="Y10" s="45">
        <f>IF(C16="","",C16)</f>
        <v>138</v>
      </c>
    </row>
    <row r="11" spans="1:25" x14ac:dyDescent="0.35">
      <c r="A11" s="46"/>
      <c r="B11" s="47">
        <v>130</v>
      </c>
      <c r="C11" s="47">
        <v>132</v>
      </c>
      <c r="D11" s="47">
        <v>145</v>
      </c>
      <c r="E11" s="47">
        <v>183</v>
      </c>
      <c r="H11" s="20" t="str">
        <f>B4</f>
        <v>Wheat</v>
      </c>
      <c r="I11" s="20" t="str">
        <f>C4</f>
        <v>Corn</v>
      </c>
      <c r="J11" s="20" t="str">
        <f>D4</f>
        <v>Soy</v>
      </c>
      <c r="K11" s="20" t="str">
        <f>E4</f>
        <v>Rice</v>
      </c>
      <c r="V11" s="48"/>
      <c r="W11" s="48">
        <f>IF(C7="","",C7)</f>
        <v>174</v>
      </c>
      <c r="X11" s="48">
        <f>IF(C12="","",C12)</f>
        <v>120</v>
      </c>
      <c r="Y11" s="48">
        <f>IF(C17="","",C17)</f>
        <v>178</v>
      </c>
    </row>
    <row r="12" spans="1:25" x14ac:dyDescent="0.35">
      <c r="A12" s="49"/>
      <c r="B12" s="50">
        <v>176</v>
      </c>
      <c r="C12" s="50">
        <v>120</v>
      </c>
      <c r="D12" s="50">
        <v>159</v>
      </c>
      <c r="E12" s="50">
        <v>142</v>
      </c>
      <c r="G12" t="str">
        <f>A5</f>
        <v>Blend X</v>
      </c>
      <c r="H12" s="29">
        <f>AVERAGE(B5:B9)</f>
        <v>131.80000000000001</v>
      </c>
      <c r="I12" s="30">
        <f>AVERAGE(C5:C9)</f>
        <v>135.4</v>
      </c>
      <c r="J12" s="30">
        <f>AVERAGE(D5:D9)</f>
        <v>175.8</v>
      </c>
      <c r="K12" s="31">
        <f>AVERAGE(E5:E9)</f>
        <v>141.19999999999999</v>
      </c>
      <c r="L12">
        <f>AVERAGE(B5:E9)</f>
        <v>146.05000000000001</v>
      </c>
      <c r="V12" s="51"/>
      <c r="W12" s="51">
        <f>IF(C8="","",C8)</f>
        <v>116</v>
      </c>
      <c r="X12" s="51">
        <f>IF(C13="","",C13)</f>
        <v>187</v>
      </c>
      <c r="Y12" s="51">
        <f>IF(C18="","",C18)</f>
        <v>176</v>
      </c>
    </row>
    <row r="13" spans="1:25" x14ac:dyDescent="0.35">
      <c r="A13" s="52"/>
      <c r="B13" s="53">
        <v>120</v>
      </c>
      <c r="C13" s="53">
        <v>187</v>
      </c>
      <c r="D13" s="53">
        <v>131</v>
      </c>
      <c r="E13" s="53">
        <v>167</v>
      </c>
      <c r="G13" t="str">
        <f>A10</f>
        <v>Blend Y</v>
      </c>
      <c r="H13" s="54">
        <f>AVERAGE(B10:B14)</f>
        <v>143.19999999999999</v>
      </c>
      <c r="I13">
        <f>AVERAGE(C10:C14)</f>
        <v>159.6</v>
      </c>
      <c r="J13">
        <f>AVERAGE(D10:D14)</f>
        <v>140.19999999999999</v>
      </c>
      <c r="K13" s="34">
        <f>AVERAGE(E10:E14)</f>
        <v>165.4</v>
      </c>
      <c r="L13">
        <f>AVERAGE(B10:E14)</f>
        <v>152.1</v>
      </c>
      <c r="V13" s="43"/>
      <c r="W13" s="43">
        <f>IF(C9="","",C9)</f>
        <v>109</v>
      </c>
      <c r="X13" s="43">
        <f>IF(C14="","",C14)</f>
        <v>184</v>
      </c>
      <c r="Y13" s="43">
        <f>IF(C19="","",C19)</f>
        <v>190</v>
      </c>
    </row>
    <row r="14" spans="1:25" x14ac:dyDescent="0.35">
      <c r="A14" s="55"/>
      <c r="B14" s="13">
        <v>155</v>
      </c>
      <c r="C14" s="13">
        <v>184</v>
      </c>
      <c r="D14" s="13">
        <v>126</v>
      </c>
      <c r="E14" s="13">
        <v>168</v>
      </c>
      <c r="G14" t="str">
        <f>A15</f>
        <v>Blend Z</v>
      </c>
      <c r="H14" s="37">
        <f>AVERAGE(B15:B19)</f>
        <v>164.4</v>
      </c>
      <c r="I14" s="38">
        <f>AVERAGE(C15:C19)</f>
        <v>173.6</v>
      </c>
      <c r="J14" s="38">
        <f>AVERAGE(D15:D19)</f>
        <v>186.4</v>
      </c>
      <c r="K14" s="39">
        <f>AVERAGE(E15:E19)</f>
        <v>172.4</v>
      </c>
      <c r="L14">
        <f>AVERAGE(B15:E19)</f>
        <v>174.2</v>
      </c>
      <c r="V14" s="44" t="str">
        <f>D4</f>
        <v>Soy</v>
      </c>
      <c r="W14" s="44">
        <f>IF(D5="","",D5)</f>
        <v>166</v>
      </c>
      <c r="X14" s="44">
        <f>IF(D10="","",D10)</f>
        <v>140</v>
      </c>
      <c r="Y14" s="44">
        <f>IF(D15="","",D15)</f>
        <v>185</v>
      </c>
    </row>
    <row r="15" spans="1:25" x14ac:dyDescent="0.35">
      <c r="A15" s="9" t="s">
        <v>17</v>
      </c>
      <c r="B15" s="10">
        <v>156</v>
      </c>
      <c r="C15" s="10">
        <v>186</v>
      </c>
      <c r="D15" s="10">
        <v>185</v>
      </c>
      <c r="E15" s="10">
        <v>175</v>
      </c>
      <c r="H15">
        <f>AVERAGE(B5:B19)</f>
        <v>146.46666666666667</v>
      </c>
      <c r="I15">
        <f>AVERAGE(C5:C19)</f>
        <v>156.19999999999999</v>
      </c>
      <c r="J15">
        <f>AVERAGE(D5:D19)</f>
        <v>167.46666666666667</v>
      </c>
      <c r="K15">
        <f>AVERAGE(E5:E19)</f>
        <v>159.66666666666666</v>
      </c>
      <c r="L15">
        <f>AVERAGE(B5:E19)</f>
        <v>157.44999999999999</v>
      </c>
      <c r="V15" s="56"/>
      <c r="W15" s="56">
        <f>IF(D6="","",D6)</f>
        <v>178</v>
      </c>
      <c r="X15" s="56">
        <f>IF(D11="","",D11)</f>
        <v>145</v>
      </c>
      <c r="Y15" s="56">
        <f>IF(D16="","",D16)</f>
        <v>206</v>
      </c>
    </row>
    <row r="16" spans="1:25" x14ac:dyDescent="0.35">
      <c r="A16" s="55"/>
      <c r="B16" s="57">
        <v>180</v>
      </c>
      <c r="C16" s="57">
        <v>138</v>
      </c>
      <c r="D16" s="57">
        <v>206</v>
      </c>
      <c r="E16" s="57">
        <v>173</v>
      </c>
      <c r="V16" s="58"/>
      <c r="W16" s="58">
        <f>IF(D7="","",D7)</f>
        <v>187</v>
      </c>
      <c r="X16" s="58">
        <f>IF(D12="","",D12)</f>
        <v>159</v>
      </c>
      <c r="Y16" s="58">
        <f>IF(D17="","",D17)</f>
        <v>188</v>
      </c>
    </row>
    <row r="17" spans="1:25" x14ac:dyDescent="0.35">
      <c r="A17" s="59"/>
      <c r="B17" s="60">
        <v>147</v>
      </c>
      <c r="C17" s="60">
        <v>178</v>
      </c>
      <c r="D17" s="60">
        <v>188</v>
      </c>
      <c r="E17" s="60">
        <v>154</v>
      </c>
      <c r="G17" t="s">
        <v>51</v>
      </c>
      <c r="V17" s="61"/>
      <c r="W17" s="61">
        <f>IF(D8="","",D8)</f>
        <v>153</v>
      </c>
      <c r="X17" s="61">
        <f>IF(D13="","",D13)</f>
        <v>131</v>
      </c>
      <c r="Y17" s="61">
        <f>IF(D18="","",D18)</f>
        <v>165</v>
      </c>
    </row>
    <row r="18" spans="1:25" x14ac:dyDescent="0.35">
      <c r="A18" s="62"/>
      <c r="B18" s="63">
        <v>146</v>
      </c>
      <c r="C18" s="63">
        <v>176</v>
      </c>
      <c r="D18" s="63">
        <v>165</v>
      </c>
      <c r="E18" s="63">
        <v>191</v>
      </c>
      <c r="H18" s="20" t="str">
        <f>B4</f>
        <v>Wheat</v>
      </c>
      <c r="I18" s="20" t="str">
        <f>C4</f>
        <v>Corn</v>
      </c>
      <c r="J18" s="20" t="str">
        <f>D4</f>
        <v>Soy</v>
      </c>
      <c r="K18" s="20" t="str">
        <f>E4</f>
        <v>Rice</v>
      </c>
      <c r="V18" s="43"/>
      <c r="W18" s="43">
        <f>IF(D9="","",D9)</f>
        <v>195</v>
      </c>
      <c r="X18" s="43">
        <f>IF(D14="","",D14)</f>
        <v>126</v>
      </c>
      <c r="Y18" s="43">
        <f>IF(D19="","",D19)</f>
        <v>188</v>
      </c>
    </row>
    <row r="19" spans="1:25" x14ac:dyDescent="0.35">
      <c r="A19" s="15"/>
      <c r="B19" s="13">
        <v>193</v>
      </c>
      <c r="C19" s="13">
        <v>190</v>
      </c>
      <c r="D19" s="13">
        <v>188</v>
      </c>
      <c r="E19" s="13">
        <v>169</v>
      </c>
      <c r="G19" t="str">
        <f>A5</f>
        <v>Blend X</v>
      </c>
      <c r="H19" s="29">
        <f>VAR(B5:B9)</f>
        <v>844.20000000000073</v>
      </c>
      <c r="I19" s="30">
        <f>VAR(C5:C9)</f>
        <v>707.79999999999927</v>
      </c>
      <c r="J19" s="30">
        <f>VAR(D5:D9)</f>
        <v>278.7</v>
      </c>
      <c r="K19" s="31">
        <f>VAR(E5:E9)</f>
        <v>354.20000000000073</v>
      </c>
      <c r="L19">
        <f>VAR(B5:E9)</f>
        <v>782.3657894736848</v>
      </c>
      <c r="V19" s="44" t="str">
        <f>E4</f>
        <v>Rice</v>
      </c>
      <c r="W19" s="44">
        <f>IF(E5="","",E5)</f>
        <v>151</v>
      </c>
      <c r="X19" s="44">
        <f>IF(E10="","",E10)</f>
        <v>167</v>
      </c>
      <c r="Y19" s="44">
        <f>IF(E15="","",E15)</f>
        <v>175</v>
      </c>
    </row>
    <row r="20" spans="1:25" x14ac:dyDescent="0.35">
      <c r="G20" t="str">
        <f>A10</f>
        <v>Blend Y</v>
      </c>
      <c r="H20" s="64">
        <f>VAR(B10:B14)</f>
        <v>498.70000000000073</v>
      </c>
      <c r="I20">
        <f>VAR(C10:C14)</f>
        <v>978.29999999999927</v>
      </c>
      <c r="J20">
        <f>VAR(D10:D14)</f>
        <v>165.7</v>
      </c>
      <c r="K20" s="34">
        <f>VAR(E10:E14)</f>
        <v>217.3</v>
      </c>
      <c r="L20">
        <f>VAR(B10:E14)</f>
        <v>511.04210526315728</v>
      </c>
      <c r="V20" s="65"/>
      <c r="W20" s="65">
        <f>IF(E6="","",E6)</f>
        <v>125</v>
      </c>
      <c r="X20" s="65">
        <f>IF(E11="","",E11)</f>
        <v>183</v>
      </c>
      <c r="Y20" s="65">
        <f>IF(E16="","",E16)</f>
        <v>173</v>
      </c>
    </row>
    <row r="21" spans="1:25" x14ac:dyDescent="0.35">
      <c r="G21" t="str">
        <f>A15</f>
        <v>Blend Z</v>
      </c>
      <c r="H21" s="37">
        <f>VAR(B15:B19)</f>
        <v>443.30000000000291</v>
      </c>
      <c r="I21" s="38">
        <f>VAR(C15:C19)</f>
        <v>428.80000000000291</v>
      </c>
      <c r="J21" s="38">
        <f>VAR(D15:D19)</f>
        <v>212.3</v>
      </c>
      <c r="K21" s="39">
        <f>VAR(E15:E19)</f>
        <v>175.8</v>
      </c>
      <c r="L21">
        <f>VAR(B15:E19)</f>
        <v>330.69473684210283</v>
      </c>
      <c r="V21" s="65"/>
      <c r="W21" s="65">
        <f>IF(E7="","",E7)</f>
        <v>117</v>
      </c>
      <c r="X21" s="65">
        <f>IF(E12="","",E12)</f>
        <v>142</v>
      </c>
      <c r="Y21" s="65">
        <f>IF(E17="","",E17)</f>
        <v>154</v>
      </c>
    </row>
    <row r="22" spans="1:25" x14ac:dyDescent="0.35">
      <c r="H22">
        <f>VAR(B5:B19)</f>
        <v>705.83809523809555</v>
      </c>
      <c r="I22">
        <f>VAR(C5:C19)</f>
        <v>871.02857142857306</v>
      </c>
      <c r="J22">
        <f>VAR(D5:D19)</f>
        <v>605.98095238095266</v>
      </c>
      <c r="K22">
        <f>VAR(E5:E19)</f>
        <v>404.95238095237954</v>
      </c>
      <c r="L22">
        <f>VAR(B5:E19)</f>
        <v>671.87881355932359</v>
      </c>
      <c r="V22" s="65"/>
      <c r="W22" s="65">
        <f>IF(E8="","",E8)</f>
        <v>155</v>
      </c>
      <c r="X22" s="65">
        <f>IF(E13="","",E13)</f>
        <v>167</v>
      </c>
      <c r="Y22" s="65">
        <f>IF(E18="","",E18)</f>
        <v>191</v>
      </c>
    </row>
    <row r="23" spans="1:25" x14ac:dyDescent="0.35">
      <c r="V23" s="43"/>
      <c r="W23" s="43">
        <f>IF(E9="","",E9)</f>
        <v>158</v>
      </c>
      <c r="X23" s="43">
        <f>IF(E14="","",E14)</f>
        <v>168</v>
      </c>
      <c r="Y23" s="43">
        <f>IF(E19="","",E19)</f>
        <v>169</v>
      </c>
    </row>
  </sheetData>
  <mergeCells count="1">
    <mergeCell ref="B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4816-84EC-4C7B-AD78-52A925CD5E86}">
  <sheetPr codeName="Sheet114"/>
  <dimension ref="A1:X29"/>
  <sheetViews>
    <sheetView workbookViewId="0"/>
  </sheetViews>
  <sheetFormatPr defaultRowHeight="14.5" x14ac:dyDescent="0.35"/>
  <cols>
    <col min="3" max="3" width="7.54296875" customWidth="1"/>
    <col min="15" max="15" width="17.26953125" customWidth="1"/>
    <col min="22" max="22" width="9.1796875" customWidth="1"/>
    <col min="23" max="23" width="18.1796875" customWidth="1"/>
    <col min="24" max="24" width="22.1796875" customWidth="1"/>
  </cols>
  <sheetData>
    <row r="1" spans="1:24" x14ac:dyDescent="0.35">
      <c r="A1" s="1" t="s">
        <v>52</v>
      </c>
      <c r="B1" s="1"/>
      <c r="O1" t="s">
        <v>1</v>
      </c>
    </row>
    <row r="3" spans="1:24" ht="15" thickBot="1" x14ac:dyDescent="0.4">
      <c r="A3" s="66" t="s">
        <v>10</v>
      </c>
      <c r="B3" s="67" t="s">
        <v>3</v>
      </c>
      <c r="C3" s="68" t="s">
        <v>53</v>
      </c>
      <c r="D3" s="68"/>
      <c r="E3" s="68"/>
      <c r="F3" s="68"/>
      <c r="G3" s="69"/>
      <c r="H3" s="20"/>
      <c r="I3" s="70" t="s">
        <v>12</v>
      </c>
      <c r="J3" s="71" t="s">
        <v>13</v>
      </c>
      <c r="K3" s="71" t="s">
        <v>54</v>
      </c>
      <c r="L3" s="72" t="s">
        <v>15</v>
      </c>
      <c r="M3" s="73" t="s">
        <v>21</v>
      </c>
      <c r="O3" t="s">
        <v>19</v>
      </c>
      <c r="W3" t="s">
        <v>55</v>
      </c>
    </row>
    <row r="4" spans="1:24" ht="15" thickTop="1" x14ac:dyDescent="0.35">
      <c r="A4" s="9" t="s">
        <v>11</v>
      </c>
      <c r="B4" s="63" t="s">
        <v>5</v>
      </c>
      <c r="C4" s="9">
        <v>123</v>
      </c>
      <c r="D4" s="21">
        <v>156</v>
      </c>
      <c r="E4" s="21">
        <v>112</v>
      </c>
      <c r="F4" s="21">
        <v>100</v>
      </c>
      <c r="G4" s="22">
        <v>168</v>
      </c>
      <c r="I4" s="9">
        <f>COUNT(C4:G4)</f>
        <v>5</v>
      </c>
      <c r="J4" s="21">
        <f>SUM(C4:G4)</f>
        <v>659</v>
      </c>
      <c r="K4" s="21">
        <f>AVERAGE(C4:G4)</f>
        <v>131.80000000000001</v>
      </c>
      <c r="L4" s="21">
        <f>VAR(C4:G4)</f>
        <v>844.20000000000073</v>
      </c>
      <c r="M4" s="22">
        <f>DEVSQ(C4:G4)</f>
        <v>3376.7999999999997</v>
      </c>
      <c r="O4" s="16" t="s">
        <v>20</v>
      </c>
      <c r="P4" s="16" t="s">
        <v>21</v>
      </c>
      <c r="Q4" s="16" t="s">
        <v>22</v>
      </c>
      <c r="R4" s="16" t="s">
        <v>23</v>
      </c>
      <c r="S4" s="16" t="s">
        <v>24</v>
      </c>
      <c r="T4" s="16" t="s">
        <v>25</v>
      </c>
      <c r="U4" s="27" t="s">
        <v>47</v>
      </c>
    </row>
    <row r="5" spans="1:24" x14ac:dyDescent="0.35">
      <c r="A5" s="62" t="s">
        <v>11</v>
      </c>
      <c r="B5" s="63" t="s">
        <v>6</v>
      </c>
      <c r="C5" s="62">
        <v>128</v>
      </c>
      <c r="D5">
        <v>150</v>
      </c>
      <c r="E5">
        <v>174</v>
      </c>
      <c r="F5">
        <v>116</v>
      </c>
      <c r="G5" s="23">
        <v>109</v>
      </c>
      <c r="I5" s="62">
        <f t="shared" ref="I5:I15" si="0">COUNT(C5:G5)</f>
        <v>5</v>
      </c>
      <c r="J5">
        <f t="shared" ref="J5:J15" si="1">SUM(C5:G5)</f>
        <v>677</v>
      </c>
      <c r="K5">
        <f t="shared" ref="K5:K15" si="2">AVERAGE(C5:G5)</f>
        <v>135.4</v>
      </c>
      <c r="L5">
        <f t="shared" ref="L5:L15" si="3">VAR(C5:G5)</f>
        <v>707.79999999999927</v>
      </c>
      <c r="M5" s="23">
        <f t="shared" ref="M5:M15" si="4">DEVSQ(C5:G5)</f>
        <v>2831.2</v>
      </c>
      <c r="O5" t="s">
        <v>28</v>
      </c>
      <c r="P5">
        <f>DEVSQ(J17:J19)/I17</f>
        <v>8782.9</v>
      </c>
      <c r="Q5">
        <f>COUNTA(H17:H19)-1</f>
        <v>2</v>
      </c>
      <c r="R5">
        <f>P5/Q5</f>
        <v>4391.45</v>
      </c>
      <c r="S5">
        <f>R5/R$8</f>
        <v>9.9333471565097717</v>
      </c>
      <c r="T5">
        <f>FDIST(S5,Q5,Q$8)</f>
        <v>2.4548728137133413E-4</v>
      </c>
      <c r="U5">
        <f>P5/(P5+P8)</f>
        <v>0.29273113290871333</v>
      </c>
      <c r="W5" t="s">
        <v>28</v>
      </c>
      <c r="X5" s="74" t="s">
        <v>56</v>
      </c>
    </row>
    <row r="6" spans="1:24" x14ac:dyDescent="0.35">
      <c r="A6" s="62" t="s">
        <v>11</v>
      </c>
      <c r="B6" s="63" t="s">
        <v>7</v>
      </c>
      <c r="C6" s="62">
        <v>166</v>
      </c>
      <c r="D6">
        <v>178</v>
      </c>
      <c r="E6">
        <v>187</v>
      </c>
      <c r="F6">
        <v>153</v>
      </c>
      <c r="G6" s="23">
        <v>195</v>
      </c>
      <c r="I6" s="62">
        <f t="shared" si="0"/>
        <v>5</v>
      </c>
      <c r="J6">
        <f t="shared" si="1"/>
        <v>879</v>
      </c>
      <c r="K6">
        <f t="shared" si="2"/>
        <v>175.8</v>
      </c>
      <c r="L6">
        <f t="shared" si="3"/>
        <v>278.7</v>
      </c>
      <c r="M6" s="23">
        <f t="shared" si="4"/>
        <v>1114.8</v>
      </c>
      <c r="O6" t="s">
        <v>29</v>
      </c>
      <c r="P6">
        <f>DEVSQ(J21:J24)/I21</f>
        <v>3411.65</v>
      </c>
      <c r="Q6">
        <f>COUNTA(H21:H24)-1</f>
        <v>3</v>
      </c>
      <c r="R6">
        <f>P6/Q6</f>
        <v>1137.2166666666667</v>
      </c>
      <c r="S6">
        <f>R6/R$8</f>
        <v>2.5723549037718416</v>
      </c>
      <c r="T6">
        <f>FDIST(S6,Q6,Q$8)</f>
        <v>6.4943822161567036E-2</v>
      </c>
      <c r="U6">
        <f>P6/(P6+P8)</f>
        <v>0.1385045093688913</v>
      </c>
      <c r="W6" t="s">
        <v>29</v>
      </c>
      <c r="X6" s="74" t="s">
        <v>57</v>
      </c>
    </row>
    <row r="7" spans="1:24" x14ac:dyDescent="0.35">
      <c r="A7" s="62" t="s">
        <v>11</v>
      </c>
      <c r="B7" s="63" t="s">
        <v>8</v>
      </c>
      <c r="C7" s="62">
        <v>151</v>
      </c>
      <c r="D7">
        <v>125</v>
      </c>
      <c r="E7">
        <v>117</v>
      </c>
      <c r="F7">
        <v>155</v>
      </c>
      <c r="G7" s="23">
        <v>158</v>
      </c>
      <c r="I7" s="62">
        <f t="shared" si="0"/>
        <v>5</v>
      </c>
      <c r="J7">
        <f t="shared" si="1"/>
        <v>706</v>
      </c>
      <c r="K7">
        <f t="shared" si="2"/>
        <v>141.19999999999999</v>
      </c>
      <c r="L7">
        <f t="shared" si="3"/>
        <v>354.20000000000073</v>
      </c>
      <c r="M7" s="23">
        <f t="shared" si="4"/>
        <v>1416.8000000000002</v>
      </c>
      <c r="O7" t="s">
        <v>2</v>
      </c>
      <c r="P7">
        <f>P10-P5-P6-P8</f>
        <v>6225.8999999999905</v>
      </c>
      <c r="Q7">
        <f>Q5*Q6</f>
        <v>6</v>
      </c>
      <c r="R7">
        <f>P7/Q7</f>
        <v>1037.6499999999985</v>
      </c>
      <c r="S7">
        <f>R7/R$8</f>
        <v>2.3471376599875553</v>
      </c>
      <c r="T7">
        <f>FDIST(S7,Q7,Q$8)</f>
        <v>4.5555492136472767E-2</v>
      </c>
      <c r="U7">
        <f>P7/(P7+P8)</f>
        <v>0.22683931896102541</v>
      </c>
      <c r="W7" t="s">
        <v>2</v>
      </c>
      <c r="X7" s="74" t="s">
        <v>58</v>
      </c>
    </row>
    <row r="8" spans="1:24" x14ac:dyDescent="0.35">
      <c r="A8" s="62" t="s">
        <v>16</v>
      </c>
      <c r="B8" s="63" t="s">
        <v>5</v>
      </c>
      <c r="C8" s="62">
        <v>135</v>
      </c>
      <c r="D8">
        <v>130</v>
      </c>
      <c r="E8">
        <v>176</v>
      </c>
      <c r="F8">
        <v>120</v>
      </c>
      <c r="G8" s="23">
        <v>155</v>
      </c>
      <c r="I8" s="62">
        <f t="shared" si="0"/>
        <v>5</v>
      </c>
      <c r="J8">
        <f t="shared" si="1"/>
        <v>716</v>
      </c>
      <c r="K8">
        <f t="shared" si="2"/>
        <v>143.19999999999999</v>
      </c>
      <c r="L8">
        <f t="shared" si="3"/>
        <v>498.70000000000073</v>
      </c>
      <c r="M8" s="23">
        <f t="shared" si="4"/>
        <v>1994.8000000000002</v>
      </c>
      <c r="O8" t="s">
        <v>32</v>
      </c>
      <c r="P8">
        <f>SUM(M4:M15)</f>
        <v>21220.400000000005</v>
      </c>
      <c r="Q8">
        <f>COUNT(C4:G15)-COUNTA(H17:H19)*COUNTA(H21:H24)</f>
        <v>48</v>
      </c>
      <c r="R8">
        <f>P8/Q8</f>
        <v>442.09166666666675</v>
      </c>
      <c r="W8" t="s">
        <v>32</v>
      </c>
      <c r="X8" s="74" t="s">
        <v>59</v>
      </c>
    </row>
    <row r="9" spans="1:24" x14ac:dyDescent="0.35">
      <c r="A9" s="62" t="s">
        <v>16</v>
      </c>
      <c r="B9" s="63" t="s">
        <v>6</v>
      </c>
      <c r="C9" s="62">
        <v>175</v>
      </c>
      <c r="D9">
        <v>132</v>
      </c>
      <c r="E9">
        <v>120</v>
      </c>
      <c r="F9">
        <v>187</v>
      </c>
      <c r="G9" s="23">
        <v>184</v>
      </c>
      <c r="I9" s="62">
        <f t="shared" si="0"/>
        <v>5</v>
      </c>
      <c r="J9">
        <f t="shared" si="1"/>
        <v>798</v>
      </c>
      <c r="K9">
        <f t="shared" si="2"/>
        <v>159.6</v>
      </c>
      <c r="L9">
        <f t="shared" si="3"/>
        <v>978.29999999999927</v>
      </c>
      <c r="M9" s="23">
        <f t="shared" si="4"/>
        <v>3913.2</v>
      </c>
      <c r="W9" t="s">
        <v>9</v>
      </c>
      <c r="X9" s="74" t="s">
        <v>60</v>
      </c>
    </row>
    <row r="10" spans="1:24" ht="15" thickBot="1" x14ac:dyDescent="0.4">
      <c r="A10" s="62" t="s">
        <v>16</v>
      </c>
      <c r="B10" s="63" t="s">
        <v>7</v>
      </c>
      <c r="C10" s="62">
        <v>140</v>
      </c>
      <c r="D10">
        <v>145</v>
      </c>
      <c r="E10">
        <v>159</v>
      </c>
      <c r="F10">
        <v>131</v>
      </c>
      <c r="G10" s="23">
        <v>126</v>
      </c>
      <c r="I10" s="62">
        <f t="shared" si="0"/>
        <v>5</v>
      </c>
      <c r="J10">
        <f t="shared" si="1"/>
        <v>701</v>
      </c>
      <c r="K10">
        <f t="shared" si="2"/>
        <v>140.19999999999999</v>
      </c>
      <c r="L10">
        <f t="shared" si="3"/>
        <v>165.7</v>
      </c>
      <c r="M10" s="23">
        <f t="shared" si="4"/>
        <v>662.8</v>
      </c>
      <c r="O10" s="17" t="s">
        <v>9</v>
      </c>
      <c r="P10" s="17">
        <f>DEVSQ(C4:G15)</f>
        <v>39640.85</v>
      </c>
      <c r="Q10" s="17">
        <f>COUNT(C4:G15)-1</f>
        <v>59</v>
      </c>
      <c r="R10" s="17"/>
      <c r="S10" s="17"/>
      <c r="T10" s="17"/>
      <c r="U10" s="17"/>
    </row>
    <row r="11" spans="1:24" x14ac:dyDescent="0.35">
      <c r="A11" s="62" t="s">
        <v>16</v>
      </c>
      <c r="B11" s="63" t="s">
        <v>8</v>
      </c>
      <c r="C11" s="62">
        <v>167</v>
      </c>
      <c r="D11">
        <v>183</v>
      </c>
      <c r="E11">
        <v>142</v>
      </c>
      <c r="F11">
        <v>167</v>
      </c>
      <c r="G11" s="23">
        <v>168</v>
      </c>
      <c r="I11" s="62">
        <f t="shared" si="0"/>
        <v>5</v>
      </c>
      <c r="J11">
        <f t="shared" si="1"/>
        <v>827</v>
      </c>
      <c r="K11">
        <f t="shared" si="2"/>
        <v>165.4</v>
      </c>
      <c r="L11">
        <f t="shared" si="3"/>
        <v>217.3</v>
      </c>
      <c r="M11" s="23">
        <f t="shared" si="4"/>
        <v>869.2</v>
      </c>
    </row>
    <row r="12" spans="1:24" x14ac:dyDescent="0.35">
      <c r="A12" s="62" t="s">
        <v>17</v>
      </c>
      <c r="B12" s="63" t="s">
        <v>5</v>
      </c>
      <c r="C12" s="62">
        <v>156</v>
      </c>
      <c r="D12">
        <v>180</v>
      </c>
      <c r="E12">
        <v>147</v>
      </c>
      <c r="F12">
        <v>146</v>
      </c>
      <c r="G12" s="23">
        <v>193</v>
      </c>
      <c r="I12" s="62">
        <f t="shared" si="0"/>
        <v>5</v>
      </c>
      <c r="J12">
        <f t="shared" si="1"/>
        <v>822</v>
      </c>
      <c r="K12">
        <f t="shared" si="2"/>
        <v>164.4</v>
      </c>
      <c r="L12">
        <f t="shared" si="3"/>
        <v>443.30000000000291</v>
      </c>
      <c r="M12" s="23">
        <f t="shared" si="4"/>
        <v>1773.1999999999998</v>
      </c>
    </row>
    <row r="13" spans="1:24" x14ac:dyDescent="0.35">
      <c r="A13" s="62" t="s">
        <v>17</v>
      </c>
      <c r="B13" s="63" t="s">
        <v>6</v>
      </c>
      <c r="C13" s="62">
        <v>186</v>
      </c>
      <c r="D13">
        <v>138</v>
      </c>
      <c r="E13">
        <v>178</v>
      </c>
      <c r="F13">
        <v>176</v>
      </c>
      <c r="G13" s="23">
        <v>190</v>
      </c>
      <c r="I13" s="62">
        <f t="shared" si="0"/>
        <v>5</v>
      </c>
      <c r="J13">
        <f t="shared" si="1"/>
        <v>868</v>
      </c>
      <c r="K13">
        <f t="shared" si="2"/>
        <v>173.6</v>
      </c>
      <c r="L13">
        <f t="shared" si="3"/>
        <v>428.80000000000291</v>
      </c>
      <c r="M13" s="23">
        <f t="shared" si="4"/>
        <v>1715.2000000000003</v>
      </c>
    </row>
    <row r="14" spans="1:24" x14ac:dyDescent="0.35">
      <c r="A14" s="62" t="s">
        <v>17</v>
      </c>
      <c r="B14" s="63" t="s">
        <v>7</v>
      </c>
      <c r="C14" s="62">
        <v>185</v>
      </c>
      <c r="D14">
        <v>206</v>
      </c>
      <c r="E14">
        <v>188</v>
      </c>
      <c r="F14">
        <v>165</v>
      </c>
      <c r="G14" s="23">
        <v>188</v>
      </c>
      <c r="I14" s="62">
        <f t="shared" si="0"/>
        <v>5</v>
      </c>
      <c r="J14">
        <f t="shared" si="1"/>
        <v>932</v>
      </c>
      <c r="K14">
        <f t="shared" si="2"/>
        <v>186.4</v>
      </c>
      <c r="L14">
        <f t="shared" si="3"/>
        <v>212.3</v>
      </c>
      <c r="M14" s="23">
        <f t="shared" si="4"/>
        <v>849.2</v>
      </c>
    </row>
    <row r="15" spans="1:24" x14ac:dyDescent="0.35">
      <c r="A15" s="15" t="s">
        <v>17</v>
      </c>
      <c r="B15" s="13" t="s">
        <v>8</v>
      </c>
      <c r="C15" s="15">
        <v>175</v>
      </c>
      <c r="D15" s="24">
        <v>173</v>
      </c>
      <c r="E15" s="24">
        <v>154</v>
      </c>
      <c r="F15" s="24">
        <v>191</v>
      </c>
      <c r="G15" s="25">
        <v>169</v>
      </c>
      <c r="I15" s="15">
        <f t="shared" si="0"/>
        <v>5</v>
      </c>
      <c r="J15" s="24">
        <f t="shared" si="1"/>
        <v>862</v>
      </c>
      <c r="K15" s="24">
        <f t="shared" si="2"/>
        <v>172.4</v>
      </c>
      <c r="L15" s="24">
        <f t="shared" si="3"/>
        <v>175.8</v>
      </c>
      <c r="M15" s="25">
        <f t="shared" si="4"/>
        <v>703.2</v>
      </c>
    </row>
    <row r="17" spans="8:12" x14ac:dyDescent="0.35">
      <c r="H17" t="s">
        <v>11</v>
      </c>
      <c r="I17" s="9">
        <f>SUMIF($A$4:$A$15,H17,$I$4:$I$15)</f>
        <v>20</v>
      </c>
      <c r="J17" s="21">
        <f>SUMIF($A$4:$A$15,H17,$J$4:$J$15)</f>
        <v>2921</v>
      </c>
      <c r="K17" s="22">
        <f>J17/I17</f>
        <v>146.05000000000001</v>
      </c>
    </row>
    <row r="18" spans="8:12" x14ac:dyDescent="0.35">
      <c r="H18" t="s">
        <v>16</v>
      </c>
      <c r="I18" s="62">
        <f>SUMIF($A$4:$A$15,H18,$I$4:$I$15)</f>
        <v>20</v>
      </c>
      <c r="J18">
        <f>SUMIF($A$4:$A$15,H18,$J$4:$J$15)</f>
        <v>3042</v>
      </c>
      <c r="K18" s="23">
        <f>J18/I18</f>
        <v>152.1</v>
      </c>
    </row>
    <row r="19" spans="8:12" x14ac:dyDescent="0.35">
      <c r="H19" t="s">
        <v>17</v>
      </c>
      <c r="I19" s="15">
        <f>SUMIF($A$4:$A$15,H19,$I$4:$I$15)</f>
        <v>20</v>
      </c>
      <c r="J19" s="24">
        <f>SUMIF($A$4:$A$15,H19,$J$4:$J$15)</f>
        <v>3484</v>
      </c>
      <c r="K19" s="25">
        <f>J19/I19</f>
        <v>174.2</v>
      </c>
    </row>
    <row r="21" spans="8:12" x14ac:dyDescent="0.35">
      <c r="H21" s="23" t="s">
        <v>5</v>
      </c>
      <c r="I21" s="9">
        <f>SUMIF($B$4:$B$15,H21,$I$4:$I$15)</f>
        <v>15</v>
      </c>
      <c r="J21" s="21">
        <f>SUMIF($B$4:$B$15,H21,$J$4:$J$15)</f>
        <v>2197</v>
      </c>
      <c r="K21" s="22">
        <f>J21/I21</f>
        <v>146.46666666666667</v>
      </c>
    </row>
    <row r="22" spans="8:12" x14ac:dyDescent="0.35">
      <c r="H22" s="23" t="s">
        <v>6</v>
      </c>
      <c r="I22" s="62">
        <f>SUMIF($B$4:$B$15,H22,$I$4:$I$15)</f>
        <v>15</v>
      </c>
      <c r="J22">
        <f>SUMIF($B$4:$B$15,H22,$J$4:$J$15)</f>
        <v>2343</v>
      </c>
      <c r="K22" s="23">
        <f>J22/I22</f>
        <v>156.19999999999999</v>
      </c>
    </row>
    <row r="23" spans="8:12" x14ac:dyDescent="0.35">
      <c r="H23" s="23" t="s">
        <v>7</v>
      </c>
      <c r="I23" s="62">
        <f>SUMIF($B$4:$B$15,H23,$I$4:$I$15)</f>
        <v>15</v>
      </c>
      <c r="J23">
        <f>SUMIF($B$4:$B$15,H23,$J$4:$J$15)</f>
        <v>2512</v>
      </c>
      <c r="K23" s="23">
        <f>J23/I23</f>
        <v>167.46666666666667</v>
      </c>
    </row>
    <row r="24" spans="8:12" x14ac:dyDescent="0.35">
      <c r="H24" s="23" t="s">
        <v>8</v>
      </c>
      <c r="I24" s="15">
        <f>SUMIF($B$4:$B$15,H24,$I$4:$I$15)</f>
        <v>15</v>
      </c>
      <c r="J24" s="24">
        <f>SUMIF($B$4:$B$15,H24,$J$4:$J$15)</f>
        <v>2395</v>
      </c>
      <c r="K24" s="25">
        <f>J24/I24</f>
        <v>159.66666666666666</v>
      </c>
    </row>
    <row r="26" spans="8:12" x14ac:dyDescent="0.35">
      <c r="H26" s="5" t="s">
        <v>50</v>
      </c>
      <c r="I26" s="20" t="s">
        <v>5</v>
      </c>
      <c r="J26" s="20" t="s">
        <v>6</v>
      </c>
      <c r="K26" s="20" t="s">
        <v>7</v>
      </c>
      <c r="L26" s="20" t="s">
        <v>8</v>
      </c>
    </row>
    <row r="27" spans="8:12" x14ac:dyDescent="0.35">
      <c r="H27" t="s">
        <v>11</v>
      </c>
      <c r="I27" s="9">
        <f>AVERAGEIFS($K$4:$K$15,$A$4:$A$15,$H27,$B$4:$B$15,I$26)</f>
        <v>131.80000000000001</v>
      </c>
      <c r="J27" s="21">
        <f t="shared" ref="J27:L29" si="5">AVERAGEIFS($K$4:$K$15,$A$4:$A$15,$H27,$B$4:$B$15,J$26)</f>
        <v>135.4</v>
      </c>
      <c r="K27" s="21">
        <f t="shared" si="5"/>
        <v>175.8</v>
      </c>
      <c r="L27" s="22">
        <f t="shared" si="5"/>
        <v>141.19999999999999</v>
      </c>
    </row>
    <row r="28" spans="8:12" x14ac:dyDescent="0.35">
      <c r="H28" t="s">
        <v>16</v>
      </c>
      <c r="I28" s="62">
        <f>AVERAGEIFS($K$4:$K$15,$A$4:$A$15,$H28,$B$4:$B$15,I$26)</f>
        <v>143.19999999999999</v>
      </c>
      <c r="J28">
        <f t="shared" si="5"/>
        <v>159.6</v>
      </c>
      <c r="K28">
        <f t="shared" si="5"/>
        <v>140.19999999999999</v>
      </c>
      <c r="L28" s="23">
        <f t="shared" si="5"/>
        <v>165.4</v>
      </c>
    </row>
    <row r="29" spans="8:12" x14ac:dyDescent="0.35">
      <c r="H29" t="s">
        <v>17</v>
      </c>
      <c r="I29" s="15">
        <f>AVERAGEIFS($K$4:$K$15,$A$4:$A$15,$H29,$B$4:$B$15,I$26)</f>
        <v>164.4</v>
      </c>
      <c r="J29" s="24">
        <f t="shared" si="5"/>
        <v>173.6</v>
      </c>
      <c r="K29" s="24">
        <f t="shared" si="5"/>
        <v>186.4</v>
      </c>
      <c r="L29" s="25">
        <f t="shared" si="5"/>
        <v>172.4</v>
      </c>
    </row>
  </sheetData>
  <mergeCells count="1"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Title</vt:lpstr>
      <vt:lpstr>ANOVA 2.2</vt:lpstr>
      <vt:lpstr>ANOVA 2.2A</vt:lpstr>
      <vt:lpstr>ANOVA 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2025-11-01T19:07:16Z</dcterms:created>
  <dcterms:modified xsi:type="dcterms:W3CDTF">2025-11-01T19:10:24Z</dcterms:modified>
</cp:coreProperties>
</file>