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07C9B60A-1AE9-4C7E-96F7-EBF994491F56}" xr6:coauthVersionLast="47" xr6:coauthVersionMax="47" xr10:uidLastSave="{00000000-0000-0000-0000-000000000000}"/>
  <bookViews>
    <workbookView xWindow="-110" yWindow="-110" windowWidth="19420" windowHeight="10300" xr2:uid="{632E745F-EC0C-4C90-BC46-20A13BDCFA20}"/>
  </bookViews>
  <sheets>
    <sheet name="Title" sheetId="2" r:id="rId1"/>
    <sheet name="Tukey 2.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4" i="1" l="1"/>
  <c r="AB23" i="1"/>
  <c r="AB22" i="1"/>
  <c r="X19" i="1"/>
  <c r="AQ18" i="1"/>
  <c r="AM18" i="1"/>
  <c r="AO15" i="1"/>
  <c r="AB11" i="1"/>
  <c r="AB10" i="1"/>
  <c r="AB9" i="1"/>
  <c r="AQ8" i="1"/>
  <c r="AM8" i="1"/>
  <c r="X6" i="1"/>
  <c r="AO5" i="1"/>
  <c r="J22" i="1"/>
  <c r="I22" i="1"/>
  <c r="H22" i="1"/>
  <c r="G22" i="1"/>
  <c r="J21" i="1"/>
  <c r="I21" i="1"/>
  <c r="H21" i="1"/>
  <c r="G21" i="1"/>
  <c r="F21" i="1"/>
  <c r="J20" i="1"/>
  <c r="I20" i="1"/>
  <c r="H20" i="1"/>
  <c r="G20" i="1"/>
  <c r="F20" i="1"/>
  <c r="J19" i="1"/>
  <c r="I19" i="1"/>
  <c r="M8" i="1" s="1"/>
  <c r="H19" i="1"/>
  <c r="G19" i="1"/>
  <c r="F19" i="1"/>
  <c r="I18" i="1"/>
  <c r="H18" i="1"/>
  <c r="G18" i="1"/>
  <c r="U16" i="1" a="1"/>
  <c r="J15" i="1"/>
  <c r="I15" i="1"/>
  <c r="H15" i="1"/>
  <c r="G15" i="1"/>
  <c r="N6" i="1" s="1"/>
  <c r="J14" i="1"/>
  <c r="I14" i="1"/>
  <c r="H14" i="1"/>
  <c r="G14" i="1"/>
  <c r="F14" i="1"/>
  <c r="T5" i="1" s="1"/>
  <c r="J13" i="1"/>
  <c r="U4" i="1" s="1"/>
  <c r="V11" i="1" s="1"/>
  <c r="I13" i="1"/>
  <c r="H13" i="1"/>
  <c r="G13" i="1"/>
  <c r="F13" i="1"/>
  <c r="J12" i="1"/>
  <c r="N5" i="1" s="1"/>
  <c r="I12" i="1"/>
  <c r="H12" i="1"/>
  <c r="G12" i="1"/>
  <c r="F12" i="1"/>
  <c r="T11" i="1"/>
  <c r="I11" i="1"/>
  <c r="H11" i="1"/>
  <c r="G11" i="1"/>
  <c r="O9" i="1"/>
  <c r="M9" i="1"/>
  <c r="J8" i="1"/>
  <c r="N9" i="1" s="1"/>
  <c r="I8" i="1"/>
  <c r="V16" i="1" s="1" a="1"/>
  <c r="H8" i="1"/>
  <c r="G8" i="1"/>
  <c r="J7" i="1"/>
  <c r="V5" i="1" s="1"/>
  <c r="I7" i="1"/>
  <c r="H7" i="1"/>
  <c r="G7" i="1"/>
  <c r="AL18" i="1" s="1"/>
  <c r="F7" i="1"/>
  <c r="M6" i="1"/>
  <c r="J6" i="1"/>
  <c r="V4" i="1" s="1"/>
  <c r="I6" i="1"/>
  <c r="H6" i="1"/>
  <c r="G6" i="1"/>
  <c r="F6" i="1"/>
  <c r="U5" i="1"/>
  <c r="J5" i="1"/>
  <c r="I5" i="1"/>
  <c r="H5" i="1"/>
  <c r="G5" i="1"/>
  <c r="F5" i="1"/>
  <c r="T4" i="1"/>
  <c r="U9" i="1" s="1"/>
  <c r="I4" i="1"/>
  <c r="H4" i="1"/>
  <c r="G4" i="1"/>
  <c r="V3" i="1"/>
  <c r="U3" i="1"/>
  <c r="V10" i="1" s="1"/>
  <c r="G3" i="1"/>
  <c r="U11" i="1" l="1"/>
  <c r="U10" i="1"/>
  <c r="O6" i="1"/>
  <c r="R6" i="1"/>
  <c r="U17" i="1"/>
  <c r="U18" i="1"/>
  <c r="AE3" i="1" a="1"/>
  <c r="AE13" i="1" a="1"/>
  <c r="U16" i="1"/>
  <c r="V18" i="1"/>
  <c r="V16" i="1"/>
  <c r="V17" i="1"/>
  <c r="T16" i="1" a="1"/>
  <c r="AF2" i="1" a="1"/>
  <c r="AF12" i="1" a="1"/>
  <c r="T3" i="1"/>
  <c r="N8" i="1"/>
  <c r="O8" i="1" s="1"/>
  <c r="N7" i="1"/>
  <c r="AN5" i="1"/>
  <c r="AL8" i="1"/>
  <c r="V9" i="1"/>
  <c r="AN15" i="1"/>
  <c r="M5" i="1"/>
  <c r="V6" i="1"/>
  <c r="W6" i="1" s="1"/>
  <c r="T9" i="1" l="1"/>
  <c r="T10" i="1"/>
  <c r="AG2" i="1"/>
  <c r="AF2" i="1"/>
  <c r="AK3" i="1" s="1" a="1"/>
  <c r="AK3" i="1" s="1"/>
  <c r="AH2" i="1"/>
  <c r="AK4" i="1" s="1" a="1"/>
  <c r="AK4" i="1" s="1"/>
  <c r="T17" i="1"/>
  <c r="T16" i="1"/>
  <c r="T18" i="1"/>
  <c r="P6" i="1"/>
  <c r="Q6" i="1" s="1"/>
  <c r="V19" i="1"/>
  <c r="W19" i="1" s="1"/>
  <c r="W9" i="1"/>
  <c r="AC9" i="1" s="1"/>
  <c r="W11" i="1"/>
  <c r="Y11" i="1" s="1"/>
  <c r="W10" i="1"/>
  <c r="V24" i="1"/>
  <c r="O5" i="1"/>
  <c r="P5" i="1" s="1"/>
  <c r="Q5" i="1" s="1"/>
  <c r="R5" i="1"/>
  <c r="V22" i="1"/>
  <c r="V23" i="1"/>
  <c r="AE5" i="1"/>
  <c r="AE4" i="1"/>
  <c r="AE3" i="1"/>
  <c r="AH12" i="1"/>
  <c r="AG12" i="1"/>
  <c r="AF12" i="1"/>
  <c r="AE13" i="1"/>
  <c r="AJ14" i="1" s="1" a="1"/>
  <c r="AJ14" i="1" s="1"/>
  <c r="AE15" i="1"/>
  <c r="AE14" i="1"/>
  <c r="AJ13" i="1" s="1" a="1"/>
  <c r="AJ13" i="1" s="1"/>
  <c r="M7" i="1"/>
  <c r="AA11" i="1" l="1"/>
  <c r="Z11" i="1"/>
  <c r="AC24" i="1"/>
  <c r="AK13" i="1" a="1"/>
  <c r="AK13" i="1" s="1"/>
  <c r="AK14" i="1" a="1"/>
  <c r="AK14" i="1" s="1"/>
  <c r="AL14" i="1" s="1"/>
  <c r="AJ4" i="1" a="1"/>
  <c r="AJ4" i="1" s="1"/>
  <c r="AJ3" i="1" a="1"/>
  <c r="AJ3" i="1" s="1"/>
  <c r="U23" i="1"/>
  <c r="U24" i="1"/>
  <c r="AC11" i="1"/>
  <c r="X11" i="1"/>
  <c r="X9" i="1"/>
  <c r="Y9" i="1"/>
  <c r="T23" i="1"/>
  <c r="T22" i="1"/>
  <c r="AC10" i="1"/>
  <c r="X10" i="1"/>
  <c r="Y10" i="1"/>
  <c r="W22" i="1"/>
  <c r="X22" i="1" s="1"/>
  <c r="W23" i="1"/>
  <c r="W24" i="1"/>
  <c r="X24" i="1" s="1"/>
  <c r="U22" i="1"/>
  <c r="T24" i="1"/>
  <c r="R7" i="1"/>
  <c r="O7" i="1"/>
  <c r="P7" i="1" s="1"/>
  <c r="Q7" i="1" s="1"/>
  <c r="AM13" i="1"/>
  <c r="AL13" i="1"/>
  <c r="X23" i="1"/>
  <c r="AC23" i="1"/>
  <c r="Y23" i="1"/>
  <c r="Z23" i="1" s="1"/>
  <c r="AA10" i="1" l="1"/>
  <c r="Z10" i="1"/>
  <c r="AM14" i="1"/>
  <c r="AM15" i="1" s="1"/>
  <c r="AJ18" i="1" s="1"/>
  <c r="AN18" i="1" s="1"/>
  <c r="Y22" i="1"/>
  <c r="AM3" i="1"/>
  <c r="AL3" i="1"/>
  <c r="AL5" i="1" s="1"/>
  <c r="AL4" i="1"/>
  <c r="AM4" i="1"/>
  <c r="Y24" i="1"/>
  <c r="AC22" i="1"/>
  <c r="AA9" i="1"/>
  <c r="Z9" i="1"/>
  <c r="AL15" i="1"/>
  <c r="AA23" i="1"/>
  <c r="AA24" i="1" l="1"/>
  <c r="Z24" i="1"/>
  <c r="AM5" i="1"/>
  <c r="AJ8" i="1" s="1"/>
  <c r="AN8" i="1" s="1"/>
  <c r="AA22" i="1"/>
  <c r="Z22" i="1"/>
  <c r="AR18" i="1"/>
  <c r="AO18" i="1"/>
  <c r="AP18" i="1"/>
  <c r="AK18" i="1"/>
  <c r="AR8" i="1" l="1"/>
  <c r="AK8" i="1"/>
  <c r="AO8" i="1"/>
  <c r="AP8" i="1"/>
</calcChain>
</file>

<file path=xl/sharedStrings.xml><?xml version="1.0" encoding="utf-8"?>
<sst xmlns="http://schemas.openxmlformats.org/spreadsheetml/2006/main" count="105" uniqueCount="54">
  <si>
    <t>Tukey HSD Two Factor ANOVA</t>
  </si>
  <si>
    <t>Descriptive Statistics</t>
  </si>
  <si>
    <t>Two Factor Anova</t>
  </si>
  <si>
    <t>TUKEY HSD: ROW EFFECT</t>
  </si>
  <si>
    <t>alpha</t>
  </si>
  <si>
    <t>CONTRAST</t>
  </si>
  <si>
    <t>TUKEY HSD: INTERACTION</t>
  </si>
  <si>
    <t>group</t>
  </si>
  <si>
    <t>mean</t>
  </si>
  <si>
    <t>size</t>
  </si>
  <si>
    <t>df</t>
  </si>
  <si>
    <t>q-crit</t>
  </si>
  <si>
    <t>row</t>
  </si>
  <si>
    <t>column</t>
  </si>
  <si>
    <t>n</t>
  </si>
  <si>
    <t>k</t>
  </si>
  <si>
    <t>adj k</t>
  </si>
  <si>
    <t>Body Location</t>
  </si>
  <si>
    <t>COUNT</t>
  </si>
  <si>
    <t>ANOVA</t>
  </si>
  <si>
    <t>Alpha</t>
  </si>
  <si>
    <t>Climate</t>
  </si>
  <si>
    <t>Arm</t>
  </si>
  <si>
    <t>Neck</t>
  </si>
  <si>
    <t>Foot</t>
  </si>
  <si>
    <t>SS</t>
  </si>
  <si>
    <t>MS</t>
  </si>
  <si>
    <t>F</t>
  </si>
  <si>
    <t>p-value</t>
  </si>
  <si>
    <t>p eta-sq</t>
  </si>
  <si>
    <t>Cold</t>
  </si>
  <si>
    <t>Rows</t>
  </si>
  <si>
    <t>Columns</t>
  </si>
  <si>
    <t>Q TEST</t>
  </si>
  <si>
    <t>Inter</t>
  </si>
  <si>
    <t>std err</t>
  </si>
  <si>
    <t>q-stat</t>
  </si>
  <si>
    <t>mean-crit</t>
  </si>
  <si>
    <t>lower</t>
  </si>
  <si>
    <t>upper</t>
  </si>
  <si>
    <t>Cohen d</t>
  </si>
  <si>
    <t>Within</t>
  </si>
  <si>
    <t>group 1</t>
  </si>
  <si>
    <t>group 2</t>
  </si>
  <si>
    <t>Total</t>
  </si>
  <si>
    <t>Dry</t>
  </si>
  <si>
    <t>MEAN</t>
  </si>
  <si>
    <t>TUKEY HSD: COLUMN EFFECT</t>
  </si>
  <si>
    <t>Humid</t>
  </si>
  <si>
    <t>VARIANCE</t>
  </si>
  <si>
    <t>Real Statistics Using Excel</t>
  </si>
  <si>
    <t>Updated</t>
  </si>
  <si>
    <t>Copyright © 2013 - 2025 Charles Zaiontz</t>
  </si>
  <si>
    <t>Tukey HSD after Two Factor ANOVA with Replications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</si>
</sst>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9">
    <border>
      <left/>
      <right/>
      <top/>
      <bottom/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0" fillId="2" borderId="10" xfId="0" applyFill="1" applyBorder="1"/>
    <xf numFmtId="0" fontId="0" fillId="2" borderId="0" xfId="0" applyFill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1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ABEED-47C0-4A8A-A998-26C9FC8898DD}">
  <sheetPr codeName="Sheet1"/>
  <dimension ref="A1:B6"/>
  <sheetViews>
    <sheetView tabSelected="1" workbookViewId="0"/>
  </sheetViews>
  <sheetFormatPr defaultRowHeight="14.5" x14ac:dyDescent="0.35"/>
  <cols>
    <col min="2" max="2" width="9.7265625" bestFit="1" customWidth="1"/>
  </cols>
  <sheetData>
    <row r="1" spans="1:2" x14ac:dyDescent="0.35">
      <c r="A1" t="s">
        <v>50</v>
      </c>
    </row>
    <row r="2" spans="1:2" x14ac:dyDescent="0.35">
      <c r="A2" t="s">
        <v>53</v>
      </c>
    </row>
    <row r="4" spans="1:2" x14ac:dyDescent="0.35">
      <c r="A4" t="s">
        <v>51</v>
      </c>
      <c r="B4" s="41">
        <v>45965</v>
      </c>
    </row>
    <row r="6" spans="1:2" x14ac:dyDescent="0.35">
      <c r="A6" s="42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2FB09-6B4B-40AA-AEC8-938AE88C9C97}">
  <sheetPr codeName="Sheet456"/>
  <dimension ref="A1:AR24"/>
  <sheetViews>
    <sheetView workbookViewId="0"/>
  </sheetViews>
  <sheetFormatPr defaultRowHeight="14.5" x14ac:dyDescent="0.35"/>
  <sheetData>
    <row r="1" spans="1:44" ht="15" thickBot="1" x14ac:dyDescent="0.4">
      <c r="A1" s="1" t="s">
        <v>0</v>
      </c>
      <c r="F1" t="s">
        <v>1</v>
      </c>
      <c r="L1" t="s">
        <v>2</v>
      </c>
      <c r="T1" t="s">
        <v>3</v>
      </c>
      <c r="W1" s="2" t="s">
        <v>4</v>
      </c>
      <c r="X1">
        <v>0.05</v>
      </c>
      <c r="AE1" t="s">
        <v>5</v>
      </c>
      <c r="AJ1" t="s">
        <v>6</v>
      </c>
    </row>
    <row r="2" spans="1:44" ht="15" thickTop="1" x14ac:dyDescent="0.35">
      <c r="T2" s="3" t="s">
        <v>7</v>
      </c>
      <c r="U2" s="3" t="s">
        <v>8</v>
      </c>
      <c r="V2" s="3" t="s">
        <v>9</v>
      </c>
      <c r="W2" s="3" t="s">
        <v>10</v>
      </c>
      <c r="X2" s="3" t="s">
        <v>11</v>
      </c>
      <c r="AF2" t="str">
        <f t="array" ref="AF2:AH2">G11:I11</f>
        <v>Arm</v>
      </c>
      <c r="AG2" t="str">
        <v>Neck</v>
      </c>
      <c r="AH2" t="str">
        <v>Foot</v>
      </c>
      <c r="AJ2" s="3" t="s">
        <v>12</v>
      </c>
      <c r="AK2" s="3" t="s">
        <v>13</v>
      </c>
      <c r="AL2" s="3" t="s">
        <v>8</v>
      </c>
      <c r="AM2" s="3" t="s">
        <v>14</v>
      </c>
      <c r="AN2" s="3" t="s">
        <v>15</v>
      </c>
      <c r="AO2" s="3" t="s">
        <v>16</v>
      </c>
    </row>
    <row r="3" spans="1:44" ht="15" thickBot="1" x14ac:dyDescent="0.4">
      <c r="B3" s="4" t="s">
        <v>17</v>
      </c>
      <c r="C3" s="5"/>
      <c r="D3" s="6"/>
      <c r="F3" t="s">
        <v>18</v>
      </c>
      <c r="G3" t="str">
        <f>IF(COUNTIF(G5:I7,G5)=COUNT(G5:I7),"balanced","unbalanced")</f>
        <v>balanced</v>
      </c>
      <c r="L3" t="s">
        <v>19</v>
      </c>
      <c r="P3" s="2" t="s">
        <v>20</v>
      </c>
      <c r="Q3" s="2">
        <v>0.05</v>
      </c>
      <c r="T3" s="7" t="str">
        <f>F12</f>
        <v>Cold</v>
      </c>
      <c r="U3" s="7">
        <f>J12</f>
        <v>17.533333333333335</v>
      </c>
      <c r="V3" s="7">
        <f>J5</f>
        <v>15</v>
      </c>
      <c r="W3" s="7"/>
      <c r="X3" s="7"/>
      <c r="AE3" t="str">
        <f t="array" ref="AE3:AE5">F12:F14</f>
        <v>Cold</v>
      </c>
      <c r="AF3" s="8">
        <v>1</v>
      </c>
      <c r="AG3" s="9"/>
      <c r="AH3" s="10">
        <v>-1</v>
      </c>
      <c r="AJ3" t="str">
        <f t="array" ref="AJ3">INDEX(AE3:AE5,MIN(IF(AF3:AH5=1,ROW(AF3:AH5)-ROW(AF3)+1)))</f>
        <v>Cold</v>
      </c>
      <c r="AK3" t="str">
        <f t="array" ref="AK3">INDEX(AF2:AH2,MIN(IF(AF3:AH5=1,COLUMN(AF3:AH5)-COLUMN(AF3)+1)))</f>
        <v>Arm</v>
      </c>
      <c r="AL3">
        <f>INDEX(G12:I14,MATCH(AJ3,F12:F14,0),MATCH(AK3,G11:I11,0))</f>
        <v>22.8</v>
      </c>
      <c r="AM3">
        <f>INDEX(G5:I7,MATCH(AJ3,F5:F7,0),MATCH(AK3,G4:I4,0))</f>
        <v>5</v>
      </c>
    </row>
    <row r="4" spans="1:44" ht="15" thickTop="1" x14ac:dyDescent="0.35">
      <c r="A4" s="11" t="s">
        <v>21</v>
      </c>
      <c r="B4" s="12" t="s">
        <v>22</v>
      </c>
      <c r="C4" s="12" t="s">
        <v>23</v>
      </c>
      <c r="D4" s="12" t="s">
        <v>24</v>
      </c>
      <c r="G4" s="2" t="str">
        <f>B4</f>
        <v>Arm</v>
      </c>
      <c r="H4" s="2" t="str">
        <f t="shared" ref="H4:I4" si="0">C4</f>
        <v>Neck</v>
      </c>
      <c r="I4" s="2" t="str">
        <f t="shared" si="0"/>
        <v>Foot</v>
      </c>
      <c r="L4" s="3"/>
      <c r="M4" s="3" t="s">
        <v>25</v>
      </c>
      <c r="N4" s="3" t="s">
        <v>10</v>
      </c>
      <c r="O4" s="3" t="s">
        <v>26</v>
      </c>
      <c r="P4" s="3" t="s">
        <v>27</v>
      </c>
      <c r="Q4" s="3" t="s">
        <v>28</v>
      </c>
      <c r="R4" s="3" t="s">
        <v>29</v>
      </c>
      <c r="T4" t="str">
        <f t="shared" ref="T4:T5" si="1">F13</f>
        <v>Dry</v>
      </c>
      <c r="U4">
        <f t="shared" ref="U4:U5" si="2">J13</f>
        <v>25.133333333333333</v>
      </c>
      <c r="V4">
        <f t="shared" ref="V4:V5" si="3">J6</f>
        <v>15</v>
      </c>
      <c r="AE4" t="str">
        <v>Dry</v>
      </c>
      <c r="AF4" s="13"/>
      <c r="AG4" s="14"/>
      <c r="AH4" s="15"/>
      <c r="AJ4" s="16" t="str">
        <f t="array" ref="AJ4">INDEX(AE3:AE5,MIN(IF(AF3:AH5=-1,ROW(AF3:AH5)-ROW(AF3)+1)))</f>
        <v>Cold</v>
      </c>
      <c r="AK4" s="16" t="str">
        <f t="array" ref="AK4">INDEX(AF2:AH2,MIN(IF(AF3:AH5=-1,COLUMN(AF3:AH5)-COLUMN(AF3)+1)))</f>
        <v>Foot</v>
      </c>
      <c r="AL4" s="16">
        <f>INDEX(G12:I14,MATCH(AJ4,F12:F14,0),MATCH(AK4,G11:I11,0))</f>
        <v>10</v>
      </c>
      <c r="AM4" s="16">
        <f>INDEX(G5:I7,MATCH(AJ4,F5:F7,0),MATCH(AK4,G4:I4,0))</f>
        <v>5</v>
      </c>
      <c r="AN4" s="16"/>
      <c r="AO4" s="16"/>
    </row>
    <row r="5" spans="1:44" x14ac:dyDescent="0.35">
      <c r="A5" s="17" t="s">
        <v>30</v>
      </c>
      <c r="B5" s="18">
        <v>15</v>
      </c>
      <c r="C5" s="18">
        <v>21</v>
      </c>
      <c r="D5" s="18">
        <v>11</v>
      </c>
      <c r="F5" t="str">
        <f>A5</f>
        <v>Cold</v>
      </c>
      <c r="G5" s="19">
        <f>COUNT(B5:B9)</f>
        <v>5</v>
      </c>
      <c r="H5" s="20">
        <f t="shared" ref="H5:I5" si="4">COUNT(C5:C9)</f>
        <v>5</v>
      </c>
      <c r="I5" s="21">
        <f t="shared" si="4"/>
        <v>5</v>
      </c>
      <c r="J5">
        <f>COUNT(B5:D9)</f>
        <v>15</v>
      </c>
      <c r="L5" t="s">
        <v>31</v>
      </c>
      <c r="M5">
        <f>DEVSQ(J12:J14)*J5</f>
        <v>1255.2444444444438</v>
      </c>
      <c r="N5">
        <f>COUNT(J12:J14)-1</f>
        <v>2</v>
      </c>
      <c r="O5">
        <f>M5/N5</f>
        <v>627.62222222222192</v>
      </c>
      <c r="P5">
        <f>O5/O8</f>
        <v>11.132439889633419</v>
      </c>
      <c r="Q5">
        <f>FDIST(P5,N5,N8)</f>
        <v>1.7223508725008627E-4</v>
      </c>
      <c r="R5">
        <f>M5/(M5+M8)</f>
        <v>0.38213208134327337</v>
      </c>
      <c r="T5" s="16" t="str">
        <f t="shared" si="1"/>
        <v>Humid</v>
      </c>
      <c r="U5" s="16">
        <f t="shared" si="2"/>
        <v>30.4</v>
      </c>
      <c r="V5" s="16">
        <f t="shared" si="3"/>
        <v>15</v>
      </c>
      <c r="W5" s="16"/>
      <c r="X5" s="16"/>
      <c r="AE5" t="str">
        <v>Humid</v>
      </c>
      <c r="AF5" s="22"/>
      <c r="AG5" s="23"/>
      <c r="AH5" s="24"/>
      <c r="AL5">
        <f>$AL$3-$AL$4</f>
        <v>12.8</v>
      </c>
      <c r="AM5">
        <f>HARMEAN($AM$3,$AM$4)</f>
        <v>5</v>
      </c>
      <c r="AN5">
        <f>COUNT(G5:I7)</f>
        <v>9</v>
      </c>
      <c r="AO5" t="e">
        <f ca="1">ADJK(COUNT(G5:G7),COUNT(G5:I5))</f>
        <v>#NAME?</v>
      </c>
    </row>
    <row r="6" spans="1:44" ht="15" thickBot="1" x14ac:dyDescent="0.4">
      <c r="A6" s="25"/>
      <c r="B6" s="26">
        <v>23</v>
      </c>
      <c r="C6" s="26">
        <v>11</v>
      </c>
      <c r="D6" s="26">
        <v>8</v>
      </c>
      <c r="F6" t="str">
        <f>A10</f>
        <v>Dry</v>
      </c>
      <c r="G6" s="27">
        <f>COUNT(B10:B14)</f>
        <v>5</v>
      </c>
      <c r="H6">
        <f t="shared" ref="H6:I6" si="5">COUNT(C10:C14)</f>
        <v>5</v>
      </c>
      <c r="I6" s="28">
        <f t="shared" si="5"/>
        <v>5</v>
      </c>
      <c r="J6">
        <f>COUNT(B10:D14)</f>
        <v>15</v>
      </c>
      <c r="L6" t="s">
        <v>32</v>
      </c>
      <c r="M6">
        <f>DEVSQ(G15:I15)*G8</f>
        <v>98.711111111111208</v>
      </c>
      <c r="N6">
        <f>COUNT(G15:I15)-1</f>
        <v>2</v>
      </c>
      <c r="O6">
        <f>M6/N6</f>
        <v>49.355555555555604</v>
      </c>
      <c r="P6">
        <f>O6/O8</f>
        <v>0.8754434371304699</v>
      </c>
      <c r="Q6">
        <f>FDIST(P6,N6,N8)</f>
        <v>0.42535951679577555</v>
      </c>
      <c r="R6">
        <f>M6/(M6+M8)</f>
        <v>4.6380019629544599E-2</v>
      </c>
      <c r="V6">
        <f>SUM(V3:V5)</f>
        <v>45</v>
      </c>
      <c r="W6">
        <f>V6-COUNT(G5:I7)</f>
        <v>36</v>
      </c>
      <c r="X6" t="e">
        <f ca="1">QCRIT(COUNT(V3:V5),W6,X1,2)</f>
        <v>#NAME?</v>
      </c>
      <c r="AJ6" t="s">
        <v>33</v>
      </c>
      <c r="AQ6" t="s">
        <v>20</v>
      </c>
      <c r="AR6">
        <v>0.05</v>
      </c>
    </row>
    <row r="7" spans="1:44" ht="15.5" thickTop="1" thickBot="1" x14ac:dyDescent="0.4">
      <c r="A7" s="25"/>
      <c r="B7" s="26">
        <v>26</v>
      </c>
      <c r="C7" s="26">
        <v>28</v>
      </c>
      <c r="D7" s="26">
        <v>2</v>
      </c>
      <c r="F7" t="str">
        <f>A15</f>
        <v>Humid</v>
      </c>
      <c r="G7" s="29">
        <f>COUNT(B15:B19)</f>
        <v>5</v>
      </c>
      <c r="H7" s="30">
        <f t="shared" ref="H7:I7" si="6">COUNT(C15:C19)</f>
        <v>5</v>
      </c>
      <c r="I7" s="31">
        <f t="shared" si="6"/>
        <v>5</v>
      </c>
      <c r="J7">
        <f>COUNT(B15:D19)</f>
        <v>15</v>
      </c>
      <c r="L7" t="s">
        <v>34</v>
      </c>
      <c r="M7">
        <f>M9-M5-M6-M8</f>
        <v>882.75555555555525</v>
      </c>
      <c r="N7">
        <f>N6*N5</f>
        <v>4</v>
      </c>
      <c r="O7">
        <f>M7/N7</f>
        <v>220.68888888888881</v>
      </c>
      <c r="P7">
        <f>O7/O8</f>
        <v>3.9144659046117445</v>
      </c>
      <c r="Q7">
        <f>FDIST(P7,N7,N8)</f>
        <v>9.7039309182118672E-3</v>
      </c>
      <c r="R7">
        <f>M7/(M7+M8)</f>
        <v>0.30310706873397625</v>
      </c>
      <c r="T7" t="s">
        <v>33</v>
      </c>
      <c r="AJ7" s="3" t="s">
        <v>35</v>
      </c>
      <c r="AK7" s="3" t="s">
        <v>36</v>
      </c>
      <c r="AL7" s="3" t="s">
        <v>10</v>
      </c>
      <c r="AM7" s="3" t="s">
        <v>11</v>
      </c>
      <c r="AN7" s="3" t="s">
        <v>37</v>
      </c>
      <c r="AO7" s="3" t="s">
        <v>38</v>
      </c>
      <c r="AP7" s="3" t="s">
        <v>39</v>
      </c>
      <c r="AQ7" s="3" t="s">
        <v>28</v>
      </c>
      <c r="AR7" s="3" t="s">
        <v>40</v>
      </c>
    </row>
    <row r="8" spans="1:44" ht="15" thickTop="1" x14ac:dyDescent="0.35">
      <c r="A8" s="25"/>
      <c r="B8" s="26">
        <v>19</v>
      </c>
      <c r="C8" s="26">
        <v>16</v>
      </c>
      <c r="D8" s="26">
        <v>19</v>
      </c>
      <c r="G8">
        <f>COUNT(B5:B19)</f>
        <v>15</v>
      </c>
      <c r="H8">
        <f t="shared" ref="H8:I8" si="7">COUNT(C5:C19)</f>
        <v>15</v>
      </c>
      <c r="I8">
        <f t="shared" si="7"/>
        <v>15</v>
      </c>
      <c r="J8">
        <f>COUNT(B5:D19)</f>
        <v>45</v>
      </c>
      <c r="L8" t="s">
        <v>41</v>
      </c>
      <c r="M8">
        <f>SUM(G19:I21)*(G5-1)</f>
        <v>2029.6000000000001</v>
      </c>
      <c r="N8">
        <f>N9-N5-N6-N7</f>
        <v>36</v>
      </c>
      <c r="O8">
        <f>M8/N8</f>
        <v>56.37777777777778</v>
      </c>
      <c r="T8" s="3" t="s">
        <v>42</v>
      </c>
      <c r="U8" s="3" t="s">
        <v>43</v>
      </c>
      <c r="V8" s="3" t="s">
        <v>8</v>
      </c>
      <c r="W8" s="3" t="s">
        <v>35</v>
      </c>
      <c r="X8" s="3" t="s">
        <v>36</v>
      </c>
      <c r="Y8" s="3" t="s">
        <v>37</v>
      </c>
      <c r="Z8" s="3" t="s">
        <v>38</v>
      </c>
      <c r="AA8" s="3" t="s">
        <v>39</v>
      </c>
      <c r="AB8" s="3" t="s">
        <v>28</v>
      </c>
      <c r="AC8" s="3" t="s">
        <v>40</v>
      </c>
      <c r="AJ8" s="32">
        <f>SQRT(SUMPRODUCT(G19:I21*(G5:I7-1))/(AM5*AL8))</f>
        <v>3.3579094025234744</v>
      </c>
      <c r="AK8" s="32">
        <f>AL5/AJ8</f>
        <v>3.8118955771650005</v>
      </c>
      <c r="AL8" s="32">
        <f>SUM(G5:I7)-COUNT(G5:I7)</f>
        <v>36</v>
      </c>
      <c r="AM8" s="32" t="e">
        <f ca="1">QCRIT(AO5,AL8,AR6,2)</f>
        <v>#NAME?</v>
      </c>
      <c r="AN8" s="32" t="e">
        <f ca="1">AJ8*AM8</f>
        <v>#NAME?</v>
      </c>
      <c r="AO8" s="32" t="e">
        <f ca="1">AL5-AJ8*AM8</f>
        <v>#NAME?</v>
      </c>
      <c r="AP8" s="32" t="e">
        <f ca="1">AL5+AJ8*AM8</f>
        <v>#NAME?</v>
      </c>
      <c r="AQ8" s="32" t="e">
        <f ca="1">QDIST(ABS(AK8),AO5,AL8)</f>
        <v>#NAME?</v>
      </c>
      <c r="AR8" s="32">
        <f>ABS(AL5)/(AJ8*SQRT(AM5))</f>
        <v>1.704731526734347</v>
      </c>
    </row>
    <row r="9" spans="1:44" x14ac:dyDescent="0.35">
      <c r="A9" s="25"/>
      <c r="B9" s="26">
        <v>31</v>
      </c>
      <c r="C9" s="26">
        <v>23</v>
      </c>
      <c r="D9" s="33">
        <v>10</v>
      </c>
      <c r="L9" s="34" t="s">
        <v>44</v>
      </c>
      <c r="M9" s="34">
        <f>O9*N9</f>
        <v>4266.3111111111102</v>
      </c>
      <c r="N9" s="34">
        <f>J8-1</f>
        <v>44</v>
      </c>
      <c r="O9" s="34">
        <f>J22</f>
        <v>96.961616161616135</v>
      </c>
      <c r="P9" s="34"/>
      <c r="Q9" s="34"/>
      <c r="R9" s="34"/>
      <c r="T9" s="35" t="str">
        <f>T3</f>
        <v>Cold</v>
      </c>
      <c r="U9" s="35" t="str">
        <f>T4</f>
        <v>Dry</v>
      </c>
      <c r="V9" s="35">
        <f>ABS(U3-U4)</f>
        <v>7.5999999999999979</v>
      </c>
      <c r="W9" s="35">
        <f>SQRT(SUMPRODUCT(G19:I21*(G5:I7-1))/(HARMEAN(V3,V4)*W6))</f>
        <v>1.9386898974613034</v>
      </c>
      <c r="X9" s="35">
        <f>V9/W9</f>
        <v>3.9201731075981403</v>
      </c>
      <c r="Y9" s="35" t="e">
        <f ca="1">X$6*W9</f>
        <v>#NAME?</v>
      </c>
      <c r="Z9" s="35" t="e">
        <f ca="1">V9-Y9</f>
        <v>#NAME?</v>
      </c>
      <c r="AA9" s="35" t="e">
        <f ca="1">V9+Y9</f>
        <v>#NAME?</v>
      </c>
      <c r="AB9" s="35" t="e">
        <f ca="1">QDIST(X9,COUNT(V$3:V$5),W$6)</f>
        <v>#NAME?</v>
      </c>
      <c r="AC9" s="35">
        <f>V9/(SQRT(HARMEAN(V3,V4))*W9)</f>
        <v>1.0121843439985183</v>
      </c>
    </row>
    <row r="10" spans="1:44" x14ac:dyDescent="0.35">
      <c r="A10" s="17" t="s">
        <v>45</v>
      </c>
      <c r="B10" s="18">
        <v>33</v>
      </c>
      <c r="C10" s="18">
        <v>25</v>
      </c>
      <c r="D10" s="18">
        <v>30</v>
      </c>
      <c r="F10" t="s">
        <v>46</v>
      </c>
      <c r="T10" t="str">
        <f>T3</f>
        <v>Cold</v>
      </c>
      <c r="U10" t="str">
        <f>T5</f>
        <v>Humid</v>
      </c>
      <c r="V10">
        <f>ABS(U3-U5)</f>
        <v>12.866666666666664</v>
      </c>
      <c r="W10">
        <f>SQRT(SUMPRODUCT(G19:I21*(G5:I7-1))/(HARMEAN(V3,V5)*W6))</f>
        <v>1.9386898974613034</v>
      </c>
      <c r="X10">
        <f t="shared" ref="X10:X11" si="8">V10/W10</f>
        <v>6.6367842961968524</v>
      </c>
      <c r="Y10" t="e">
        <f t="shared" ref="Y10:Y11" ca="1" si="9">X$6*W10</f>
        <v>#NAME?</v>
      </c>
      <c r="Z10" t="e">
        <f t="shared" ref="Z10:Z11" ca="1" si="10">V10-Y10</f>
        <v>#NAME?</v>
      </c>
      <c r="AA10" t="e">
        <f t="shared" ref="AA10:AA11" ca="1" si="11">V10+Y10</f>
        <v>#NAME?</v>
      </c>
      <c r="AB10" t="e">
        <f ca="1">QDIST(X10,COUNT(V$3:V$5),W$6)</f>
        <v>#NAME?</v>
      </c>
      <c r="AC10">
        <f>V10/(SQRT(HARMEAN(V3,V5))*W10)</f>
        <v>1.7136103367694213</v>
      </c>
    </row>
    <row r="11" spans="1:44" ht="15" thickBot="1" x14ac:dyDescent="0.4">
      <c r="A11" s="25"/>
      <c r="B11" s="26">
        <v>26</v>
      </c>
      <c r="C11" s="26">
        <v>29</v>
      </c>
      <c r="D11" s="26">
        <v>29</v>
      </c>
      <c r="G11" s="2" t="str">
        <f>B4</f>
        <v>Arm</v>
      </c>
      <c r="H11" s="2" t="str">
        <f t="shared" ref="H11:I11" si="12">C4</f>
        <v>Neck</v>
      </c>
      <c r="I11" s="2" t="str">
        <f t="shared" si="12"/>
        <v>Foot</v>
      </c>
      <c r="T11" s="34" t="str">
        <f>T4</f>
        <v>Dry</v>
      </c>
      <c r="U11" s="34" t="str">
        <f>T5</f>
        <v>Humid</v>
      </c>
      <c r="V11" s="34">
        <f>ABS(U4-U5)</f>
        <v>5.2666666666666657</v>
      </c>
      <c r="W11" s="34">
        <f>SQRT(SUMPRODUCT(G19:I21*(G5:I7-1))/(HARMEAN(V4,V5)*W6))</f>
        <v>1.9386898974613034</v>
      </c>
      <c r="X11" s="34">
        <f t="shared" si="8"/>
        <v>2.7166111885987116</v>
      </c>
      <c r="Y11" s="34" t="e">
        <f t="shared" ca="1" si="9"/>
        <v>#NAME?</v>
      </c>
      <c r="Z11" s="34" t="e">
        <f t="shared" ca="1" si="10"/>
        <v>#NAME?</v>
      </c>
      <c r="AA11" s="34" t="e">
        <f t="shared" ca="1" si="11"/>
        <v>#NAME?</v>
      </c>
      <c r="AB11" s="34" t="e">
        <f ca="1">QDIST(X11,COUNT(V$3:V$5),W$6)</f>
        <v>#NAME?</v>
      </c>
      <c r="AC11" s="34">
        <f>V11/(SQRT(HARMEAN(V4,V5))*W11)</f>
        <v>0.70142599277090301</v>
      </c>
      <c r="AE11" t="s">
        <v>5</v>
      </c>
      <c r="AJ11" t="s">
        <v>6</v>
      </c>
    </row>
    <row r="12" spans="1:44" ht="15" thickTop="1" x14ac:dyDescent="0.35">
      <c r="A12" s="25"/>
      <c r="B12" s="26">
        <v>15</v>
      </c>
      <c r="C12" s="26">
        <v>17</v>
      </c>
      <c r="D12" s="26">
        <v>39</v>
      </c>
      <c r="F12" t="str">
        <f>A5</f>
        <v>Cold</v>
      </c>
      <c r="G12" s="19">
        <f>AVERAGE(B5:B9)</f>
        <v>22.8</v>
      </c>
      <c r="H12" s="20">
        <f t="shared" ref="H12:I12" si="13">AVERAGE(C5:C9)</f>
        <v>19.8</v>
      </c>
      <c r="I12" s="21">
        <f t="shared" si="13"/>
        <v>10</v>
      </c>
      <c r="J12">
        <f>AVERAGE(B5:D9)</f>
        <v>17.533333333333335</v>
      </c>
      <c r="AF12" t="str">
        <f t="array" ref="AF12:AH12">G11:I11</f>
        <v>Arm</v>
      </c>
      <c r="AG12" t="str">
        <v>Neck</v>
      </c>
      <c r="AH12" t="str">
        <v>Foot</v>
      </c>
      <c r="AJ12" s="3" t="s">
        <v>12</v>
      </c>
      <c r="AK12" s="3" t="s">
        <v>13</v>
      </c>
      <c r="AL12" s="3" t="s">
        <v>8</v>
      </c>
      <c r="AM12" s="3" t="s">
        <v>14</v>
      </c>
      <c r="AN12" s="3" t="s">
        <v>15</v>
      </c>
      <c r="AO12" s="3" t="s">
        <v>16</v>
      </c>
    </row>
    <row r="13" spans="1:44" x14ac:dyDescent="0.35">
      <c r="A13" s="25"/>
      <c r="B13" s="26">
        <v>18</v>
      </c>
      <c r="C13" s="26">
        <v>22</v>
      </c>
      <c r="D13" s="26">
        <v>25</v>
      </c>
      <c r="F13" t="str">
        <f>A10</f>
        <v>Dry</v>
      </c>
      <c r="G13" s="27">
        <f>AVERAGE(B10:B14)</f>
        <v>25</v>
      </c>
      <c r="H13">
        <f t="shared" ref="H13:I13" si="14">AVERAGE(C10:C14)</f>
        <v>21</v>
      </c>
      <c r="I13" s="28">
        <f t="shared" si="14"/>
        <v>29.4</v>
      </c>
      <c r="J13">
        <f>AVERAGE(B10:D14)</f>
        <v>25.133333333333333</v>
      </c>
      <c r="AE13" t="str">
        <f t="array" ref="AE13:AE15">F12:F14</f>
        <v>Cold</v>
      </c>
      <c r="AF13" s="8"/>
      <c r="AG13" s="9"/>
      <c r="AH13" s="10">
        <v>-1</v>
      </c>
      <c r="AJ13" t="str">
        <f t="array" ref="AJ13">INDEX(AE13:AE15,MIN(IF(AF13:AH15=1,ROW(AF13:AH15)-ROW(AF13)+1)))</f>
        <v>Dry</v>
      </c>
      <c r="AK13" t="str">
        <f t="array" ref="AK13">INDEX(AF12:AH12,MIN(IF(AF13:AH15=1,COLUMN(AF13:AH15)-COLUMN(AF13)+1)))</f>
        <v>Foot</v>
      </c>
      <c r="AL13">
        <f>INDEX(G12:I14,MATCH(AJ13,F12:F14,0),MATCH(AK13,G11:I11,0))</f>
        <v>29.4</v>
      </c>
      <c r="AM13">
        <f>INDEX(G5:I7,MATCH(AJ13,F5:F7,0),MATCH(AK13,G4:I4,0))</f>
        <v>5</v>
      </c>
    </row>
    <row r="14" spans="1:44" ht="15" thickBot="1" x14ac:dyDescent="0.4">
      <c r="A14" s="25"/>
      <c r="B14" s="26">
        <v>33</v>
      </c>
      <c r="C14" s="26">
        <v>12</v>
      </c>
      <c r="D14" s="33">
        <v>24</v>
      </c>
      <c r="F14" t="str">
        <f>A15</f>
        <v>Humid</v>
      </c>
      <c r="G14" s="29">
        <f>AVERAGE(B15:B19)</f>
        <v>28</v>
      </c>
      <c r="H14" s="30">
        <f t="shared" ref="H14:I14" si="15">AVERAGE(C15:C19)</f>
        <v>26</v>
      </c>
      <c r="I14" s="31">
        <f t="shared" si="15"/>
        <v>37.200000000000003</v>
      </c>
      <c r="J14">
        <f>AVERAGE(B15:D19)</f>
        <v>30.4</v>
      </c>
      <c r="T14" t="s">
        <v>47</v>
      </c>
      <c r="W14" s="2" t="s">
        <v>4</v>
      </c>
      <c r="X14">
        <v>0.05</v>
      </c>
      <c r="AE14" t="str">
        <v>Dry</v>
      </c>
      <c r="AF14" s="13"/>
      <c r="AG14" s="14"/>
      <c r="AH14" s="15">
        <v>1</v>
      </c>
      <c r="AJ14" s="16" t="str">
        <f t="array" ref="AJ14">INDEX(AE13:AE15,MIN(IF(AF13:AH15=-1,ROW(AF13:AH15)-ROW(AF13)+1)))</f>
        <v>Cold</v>
      </c>
      <c r="AK14" s="16" t="str">
        <f t="array" ref="AK14">INDEX(AF12:AH12,MIN(IF(AF13:AH15=-1,COLUMN(AF13:AH15)-COLUMN(AF13)+1)))</f>
        <v>Foot</v>
      </c>
      <c r="AL14" s="16">
        <f>INDEX(G12:I14,MATCH(AJ14,F12:F14,0),MATCH(AK14,G11:I11,0))</f>
        <v>10</v>
      </c>
      <c r="AM14" s="16">
        <f>INDEX(G5:I7,MATCH(AJ14,F5:F7,0),MATCH(AK14,G4:I4,0))</f>
        <v>5</v>
      </c>
      <c r="AN14" s="16"/>
      <c r="AO14" s="16"/>
    </row>
    <row r="15" spans="1:44" ht="15" thickTop="1" x14ac:dyDescent="0.35">
      <c r="A15" s="17" t="s">
        <v>48</v>
      </c>
      <c r="B15" s="18">
        <v>28</v>
      </c>
      <c r="C15" s="18">
        <v>16</v>
      </c>
      <c r="D15" s="18">
        <v>26</v>
      </c>
      <c r="G15">
        <f>AVERAGE(B5:B19)</f>
        <v>25.266666666666666</v>
      </c>
      <c r="H15">
        <f t="shared" ref="H15:I15" si="16">AVERAGE(C5:C19)</f>
        <v>22.266666666666666</v>
      </c>
      <c r="I15">
        <f t="shared" si="16"/>
        <v>25.533333333333335</v>
      </c>
      <c r="J15">
        <f>AVERAGE(B5:D19)</f>
        <v>24.355555555555554</v>
      </c>
      <c r="T15" s="3" t="s">
        <v>7</v>
      </c>
      <c r="U15" s="3" t="s">
        <v>8</v>
      </c>
      <c r="V15" s="3" t="s">
        <v>9</v>
      </c>
      <c r="W15" s="3" t="s">
        <v>10</v>
      </c>
      <c r="X15" s="3" t="s">
        <v>11</v>
      </c>
      <c r="AE15" t="str">
        <v>Humid</v>
      </c>
      <c r="AF15" s="22"/>
      <c r="AG15" s="23"/>
      <c r="AH15" s="24"/>
      <c r="AL15">
        <f>$AL$13-$AL$14</f>
        <v>19.399999999999999</v>
      </c>
      <c r="AM15">
        <f>HARMEAN($AM$13,$AM$14)</f>
        <v>5</v>
      </c>
      <c r="AN15">
        <f>COUNT(G5:I7)</f>
        <v>9</v>
      </c>
      <c r="AO15" t="e">
        <f ca="1">ADJK(COUNT(G5:G7),COUNT(G5:I5))</f>
        <v>#NAME?</v>
      </c>
    </row>
    <row r="16" spans="1:44" ht="15" thickBot="1" x14ac:dyDescent="0.4">
      <c r="A16" s="25"/>
      <c r="B16" s="26">
        <v>20</v>
      </c>
      <c r="C16" s="26">
        <v>18</v>
      </c>
      <c r="D16" s="26">
        <v>37</v>
      </c>
      <c r="T16" s="35" t="str">
        <f t="array" ref="T16:T18">TRANSPOSE(G11:I11)</f>
        <v>Arm</v>
      </c>
      <c r="U16" s="35">
        <f t="array" ref="U16:U18">TRANSPOSE(G15:I15)</f>
        <v>25.266666666666666</v>
      </c>
      <c r="V16" s="35">
        <f t="array" ref="V16:V18">TRANSPOSE(G8:I8)</f>
        <v>15</v>
      </c>
      <c r="W16" s="35"/>
      <c r="X16" s="35"/>
      <c r="AJ16" t="s">
        <v>33</v>
      </c>
      <c r="AQ16" t="s">
        <v>20</v>
      </c>
      <c r="AR16">
        <v>0.05</v>
      </c>
    </row>
    <row r="17" spans="1:44" ht="15" thickTop="1" x14ac:dyDescent="0.35">
      <c r="A17" s="25"/>
      <c r="B17" s="26">
        <v>18</v>
      </c>
      <c r="C17" s="26">
        <v>26</v>
      </c>
      <c r="D17" s="26">
        <v>39</v>
      </c>
      <c r="F17" t="s">
        <v>49</v>
      </c>
      <c r="T17" t="str">
        <v>Neck</v>
      </c>
      <c r="U17">
        <v>22.266666666666666</v>
      </c>
      <c r="V17">
        <v>15</v>
      </c>
      <c r="AJ17" s="3" t="s">
        <v>35</v>
      </c>
      <c r="AK17" s="3" t="s">
        <v>36</v>
      </c>
      <c r="AL17" s="3" t="s">
        <v>10</v>
      </c>
      <c r="AM17" s="3" t="s">
        <v>11</v>
      </c>
      <c r="AN17" s="3" t="s">
        <v>37</v>
      </c>
      <c r="AO17" s="3" t="s">
        <v>38</v>
      </c>
      <c r="AP17" s="3" t="s">
        <v>39</v>
      </c>
      <c r="AQ17" s="3" t="s">
        <v>28</v>
      </c>
      <c r="AR17" s="3" t="s">
        <v>40</v>
      </c>
    </row>
    <row r="18" spans="1:44" x14ac:dyDescent="0.35">
      <c r="A18" s="25"/>
      <c r="B18" s="26">
        <v>36</v>
      </c>
      <c r="C18" s="26">
        <v>36</v>
      </c>
      <c r="D18" s="26">
        <v>34</v>
      </c>
      <c r="G18" s="2" t="str">
        <f>B4</f>
        <v>Arm</v>
      </c>
      <c r="H18" s="2" t="str">
        <f t="shared" ref="H18:I18" si="17">C4</f>
        <v>Neck</v>
      </c>
      <c r="I18" s="2" t="str">
        <f t="shared" si="17"/>
        <v>Foot</v>
      </c>
      <c r="T18" s="16" t="str">
        <v>Foot</v>
      </c>
      <c r="U18" s="16">
        <v>25.533333333333335</v>
      </c>
      <c r="V18" s="16">
        <v>15</v>
      </c>
      <c r="W18" s="16"/>
      <c r="X18" s="16"/>
      <c r="AJ18" s="32">
        <f>SQRT(SUMPRODUCT(G19:I21*(G5:I7-1))/(AM15*AL18))</f>
        <v>3.3579094025234744</v>
      </c>
      <c r="AK18" s="32">
        <f>AL15/AJ18</f>
        <v>5.777404234140703</v>
      </c>
      <c r="AL18" s="32">
        <f>SUM(G5:I7)-COUNT(G5:I7)</f>
        <v>36</v>
      </c>
      <c r="AM18" s="32" t="e">
        <f ca="1">QCRIT(AO15,AL18,AR16,2)</f>
        <v>#NAME?</v>
      </c>
      <c r="AN18" s="32" t="e">
        <f ca="1">AJ18*AM18</f>
        <v>#NAME?</v>
      </c>
      <c r="AO18" s="32" t="e">
        <f ca="1">AL15-AJ18*AM18</f>
        <v>#NAME?</v>
      </c>
      <c r="AP18" s="32" t="e">
        <f ca="1">AL15+AJ18*AM18</f>
        <v>#NAME?</v>
      </c>
      <c r="AQ18" s="32" t="e">
        <f ca="1">QDIST(ABS(AK18),AO15,AL18)</f>
        <v>#NAME?</v>
      </c>
      <c r="AR18" s="32">
        <f>ABS(AL15)/(AJ18*SQRT(AM15))</f>
        <v>2.5837337202067445</v>
      </c>
    </row>
    <row r="19" spans="1:44" x14ac:dyDescent="0.35">
      <c r="A19" s="36"/>
      <c r="B19" s="37">
        <v>38</v>
      </c>
      <c r="C19" s="37">
        <v>34</v>
      </c>
      <c r="D19" s="37">
        <v>50</v>
      </c>
      <c r="F19" t="str">
        <f>A5</f>
        <v>Cold</v>
      </c>
      <c r="G19" s="38">
        <f>VAR(B5:B9)</f>
        <v>38.200000000000045</v>
      </c>
      <c r="H19" s="39">
        <f t="shared" ref="H19:I19" si="18">VAR(C5:C9)</f>
        <v>42.699999999999989</v>
      </c>
      <c r="I19" s="40">
        <f t="shared" si="18"/>
        <v>37.5</v>
      </c>
      <c r="J19">
        <f>VAR(B5:D9)</f>
        <v>65.838095238095249</v>
      </c>
      <c r="V19">
        <f>SUM(V16:V18)</f>
        <v>45</v>
      </c>
      <c r="W19">
        <f>V19-COUNT(G5:I7)</f>
        <v>36</v>
      </c>
      <c r="X19" t="e">
        <f ca="1">QCRIT(COUNT(V16:V18),W19,X14,2)</f>
        <v>#NAME?</v>
      </c>
    </row>
    <row r="20" spans="1:44" ht="15" thickBot="1" x14ac:dyDescent="0.4">
      <c r="F20" t="str">
        <f>A10</f>
        <v>Dry</v>
      </c>
      <c r="G20" s="27">
        <f>VAR(B10:B14)</f>
        <v>69.5</v>
      </c>
      <c r="H20">
        <f t="shared" ref="H20:I20" si="19">VAR(C10:C14)</f>
        <v>44.5</v>
      </c>
      <c r="I20" s="28">
        <f t="shared" si="19"/>
        <v>35.299999999999955</v>
      </c>
      <c r="J20">
        <f>VAR(B10:D14)</f>
        <v>55.266666666666687</v>
      </c>
      <c r="T20" t="s">
        <v>33</v>
      </c>
    </row>
    <row r="21" spans="1:44" ht="15" thickTop="1" x14ac:dyDescent="0.35">
      <c r="F21" t="str">
        <f>A15</f>
        <v>Humid</v>
      </c>
      <c r="G21" s="29">
        <f>VAR(B15:B19)</f>
        <v>82</v>
      </c>
      <c r="H21" s="30">
        <f t="shared" ref="H21:I21" si="20">VAR(C15:C19)</f>
        <v>82</v>
      </c>
      <c r="I21" s="31">
        <f t="shared" si="20"/>
        <v>75.700000000000045</v>
      </c>
      <c r="J21">
        <f>VAR(B15:D19)</f>
        <v>93.971428571428604</v>
      </c>
      <c r="T21" s="3" t="s">
        <v>42</v>
      </c>
      <c r="U21" s="3" t="s">
        <v>43</v>
      </c>
      <c r="V21" s="3" t="s">
        <v>8</v>
      </c>
      <c r="W21" s="3" t="s">
        <v>35</v>
      </c>
      <c r="X21" s="3" t="s">
        <v>36</v>
      </c>
      <c r="Y21" s="3" t="s">
        <v>37</v>
      </c>
      <c r="Z21" s="3" t="s">
        <v>38</v>
      </c>
      <c r="AA21" s="3" t="s">
        <v>39</v>
      </c>
      <c r="AB21" s="3" t="s">
        <v>28</v>
      </c>
      <c r="AC21" s="3" t="s">
        <v>40</v>
      </c>
    </row>
    <row r="22" spans="1:44" x14ac:dyDescent="0.35">
      <c r="G22">
        <f>VAR(B5:B19)</f>
        <v>59.066666666666606</v>
      </c>
      <c r="H22">
        <f t="shared" ref="H22:I22" si="21">VAR(C5:C19)</f>
        <v>56.06666666666667</v>
      </c>
      <c r="I22">
        <f t="shared" si="21"/>
        <v>182.55238095238096</v>
      </c>
      <c r="J22">
        <f>VAR(B5:D19)</f>
        <v>96.961616161616135</v>
      </c>
      <c r="T22" s="35" t="str">
        <f>T16</f>
        <v>Arm</v>
      </c>
      <c r="U22" s="35" t="str">
        <f>T17</f>
        <v>Neck</v>
      </c>
      <c r="V22" s="35">
        <f>ABS(U16-U17)</f>
        <v>3</v>
      </c>
      <c r="W22" s="35">
        <f>SQRT(SUMPRODUCT(G19:I21*(G5:I7-1))/(HARMEAN(V16,V17)*W19))</f>
        <v>1.9386898974613034</v>
      </c>
      <c r="X22" s="35">
        <f>V22/W22</f>
        <v>1.5474367529992663</v>
      </c>
      <c r="Y22" s="35" t="e">
        <f ca="1">X$19*W22</f>
        <v>#NAME?</v>
      </c>
      <c r="Z22" s="35" t="e">
        <f ca="1">V22-Y22</f>
        <v>#NAME?</v>
      </c>
      <c r="AA22" s="35" t="e">
        <f ca="1">V22+Y22</f>
        <v>#NAME?</v>
      </c>
      <c r="AB22" s="35" t="e">
        <f ca="1">QDIST(X22,COUNT(V$16:V$18),W$19)</f>
        <v>#NAME?</v>
      </c>
      <c r="AC22" s="35">
        <f>V22/(SQRT(HARMEAN(V16,V17))*W22)</f>
        <v>0.39954645157836255</v>
      </c>
    </row>
    <row r="23" spans="1:44" x14ac:dyDescent="0.35">
      <c r="T23" t="str">
        <f>T16</f>
        <v>Arm</v>
      </c>
      <c r="U23" t="str">
        <f>T18</f>
        <v>Foot</v>
      </c>
      <c r="V23">
        <f>ABS(U16-U18)</f>
        <v>0.26666666666666927</v>
      </c>
      <c r="W23">
        <f>SQRT(SUMPRODUCT(G19:I21*(G5:I7-1))/(HARMEAN(V16,V18)*W19))</f>
        <v>1.9386898974613034</v>
      </c>
      <c r="X23">
        <f t="shared" ref="X23:X24" si="22">V23/W23</f>
        <v>0.13754993359993614</v>
      </c>
      <c r="Y23" t="e">
        <f t="shared" ref="Y23:Y24" ca="1" si="23">X$19*W23</f>
        <v>#NAME?</v>
      </c>
      <c r="Z23" t="e">
        <f t="shared" ref="Z23:Z24" ca="1" si="24">V23-Y23</f>
        <v>#NAME?</v>
      </c>
      <c r="AA23" t="e">
        <f t="shared" ref="AA23:AA24" ca="1" si="25">V23+Y23</f>
        <v>#NAME?</v>
      </c>
      <c r="AB23" t="e">
        <f ca="1">QDIST(X23,COUNT(V$16:V$18),W$19)</f>
        <v>#NAME?</v>
      </c>
      <c r="AC23">
        <f>V23/(SQRT(HARMEAN(V16,V18))*W23)</f>
        <v>3.5515240140299241E-2</v>
      </c>
    </row>
    <row r="24" spans="1:44" x14ac:dyDescent="0.35">
      <c r="T24" s="16" t="str">
        <f>T17</f>
        <v>Neck</v>
      </c>
      <c r="U24" s="16" t="str">
        <f>T18</f>
        <v>Foot</v>
      </c>
      <c r="V24" s="16">
        <f>ABS(U17-U18)</f>
        <v>3.2666666666666693</v>
      </c>
      <c r="W24" s="16">
        <f>SQRT(SUMPRODUCT(G19:I21*(G5:I7-1))/(HARMEAN(V17,V18)*W19))</f>
        <v>1.9386898974613034</v>
      </c>
      <c r="X24" s="16">
        <f t="shared" si="22"/>
        <v>1.6849866865992025</v>
      </c>
      <c r="Y24" s="16" t="e">
        <f t="shared" ca="1" si="23"/>
        <v>#NAME?</v>
      </c>
      <c r="Z24" s="16" t="e">
        <f t="shared" ca="1" si="24"/>
        <v>#NAME?</v>
      </c>
      <c r="AA24" s="16" t="e">
        <f t="shared" ca="1" si="25"/>
        <v>#NAME?</v>
      </c>
      <c r="AB24" s="16" t="e">
        <f ca="1">QDIST(X24,COUNT(V$16:V$18),W$19)</f>
        <v>#NAME?</v>
      </c>
      <c r="AC24" s="16">
        <f>V24/(SQRT(HARMEAN(V17,V18))*W24)</f>
        <v>0.43506169171866182</v>
      </c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Tukey 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2025-11-04T09:42:41Z</dcterms:created>
  <dcterms:modified xsi:type="dcterms:W3CDTF">2025-11-04T09:45:12Z</dcterms:modified>
</cp:coreProperties>
</file>