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892CF341-4447-493B-B6D3-C2CA728097A6}" xr6:coauthVersionLast="47" xr6:coauthVersionMax="47" xr10:uidLastSave="{00000000-0000-0000-0000-000000000000}"/>
  <bookViews>
    <workbookView xWindow="-110" yWindow="-110" windowWidth="19420" windowHeight="10300" xr2:uid="{71BDCD23-7F9D-41CA-8594-634ABED1AD51}"/>
  </bookViews>
  <sheets>
    <sheet name="Sheet6" sheetId="6" r:id="rId1"/>
    <sheet name="ANOVA 2.2" sheetId="1" r:id="rId2"/>
    <sheet name="ANOVA 2.2A" sheetId="2" r:id="rId3"/>
    <sheet name="Simple Effect" sheetId="3" r:id="rId4"/>
    <sheet name="ANOVA 2.4" sheetId="5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5" l="1" a="1"/>
  <c r="E18" i="5" s="1"/>
  <c r="F16" i="5" a="1"/>
  <c r="F16" i="5" s="1"/>
  <c r="E11" i="5" a="1"/>
  <c r="E11" i="5" s="1"/>
  <c r="F10" i="5" a="1"/>
  <c r="F10" i="5" s="1"/>
  <c r="E5" i="5" a="1"/>
  <c r="E6" i="5" s="1"/>
  <c r="F4" i="5" a="1"/>
  <c r="G4" i="5" s="1"/>
  <c r="S3" i="5" a="1"/>
  <c r="S11" i="5" s="1"/>
  <c r="S34" i="1"/>
  <c r="R34" i="1"/>
  <c r="Q34" i="1"/>
  <c r="S33" i="1"/>
  <c r="R33" i="1"/>
  <c r="Q33" i="1"/>
  <c r="U32" i="1"/>
  <c r="T32" i="1"/>
  <c r="S32" i="1"/>
  <c r="R32" i="1"/>
  <c r="Q32" i="1"/>
  <c r="U31" i="1"/>
  <c r="T31" i="1"/>
  <c r="S31" i="1"/>
  <c r="R31" i="1"/>
  <c r="Q31" i="1"/>
  <c r="U30" i="1"/>
  <c r="T30" i="1"/>
  <c r="S30" i="1"/>
  <c r="R30" i="1"/>
  <c r="Q30" i="1"/>
  <c r="I19" i="5"/>
  <c r="N9" i="5"/>
  <c r="L22" i="3"/>
  <c r="K22" i="3"/>
  <c r="J22" i="3"/>
  <c r="I22" i="3"/>
  <c r="H22" i="3"/>
  <c r="L21" i="3"/>
  <c r="K21" i="3"/>
  <c r="J21" i="3"/>
  <c r="I21" i="3"/>
  <c r="H21" i="3"/>
  <c r="G21" i="3"/>
  <c r="L20" i="3"/>
  <c r="K20" i="3"/>
  <c r="J20" i="3"/>
  <c r="I20" i="3"/>
  <c r="H20" i="3"/>
  <c r="G20" i="3"/>
  <c r="L19" i="3"/>
  <c r="K19" i="3"/>
  <c r="J19" i="3"/>
  <c r="I19" i="3"/>
  <c r="H19" i="3"/>
  <c r="G19" i="3"/>
  <c r="K18" i="3"/>
  <c r="J18" i="3"/>
  <c r="I18" i="3"/>
  <c r="H18" i="3"/>
  <c r="X16" i="3"/>
  <c r="L15" i="3"/>
  <c r="K15" i="3"/>
  <c r="J15" i="3"/>
  <c r="P6" i="3" s="1"/>
  <c r="P7" i="3" s="1"/>
  <c r="I15" i="3"/>
  <c r="H15" i="3"/>
  <c r="L14" i="3"/>
  <c r="W7" i="3" s="1"/>
  <c r="K14" i="3"/>
  <c r="J14" i="3"/>
  <c r="I14" i="3"/>
  <c r="H14" i="3"/>
  <c r="G14" i="3"/>
  <c r="L13" i="3"/>
  <c r="K13" i="3"/>
  <c r="J13" i="3"/>
  <c r="I13" i="3"/>
  <c r="W16" i="3" s="1"/>
  <c r="H13" i="3"/>
  <c r="G13" i="3"/>
  <c r="V6" i="3" s="1"/>
  <c r="L12" i="3"/>
  <c r="P5" i="3" s="1"/>
  <c r="K12" i="3"/>
  <c r="J12" i="3"/>
  <c r="I12" i="3"/>
  <c r="H12" i="3"/>
  <c r="G12" i="3"/>
  <c r="K11" i="3"/>
  <c r="V18" i="3" s="1"/>
  <c r="J11" i="3"/>
  <c r="V17" i="3" s="1"/>
  <c r="I11" i="3"/>
  <c r="V16" i="3" s="1"/>
  <c r="H11" i="3"/>
  <c r="V15" i="3" s="1"/>
  <c r="Q9" i="3"/>
  <c r="L8" i="3"/>
  <c r="P9" i="3" s="1"/>
  <c r="K8" i="3"/>
  <c r="J8" i="3"/>
  <c r="I8" i="3"/>
  <c r="H8" i="3"/>
  <c r="V7" i="3"/>
  <c r="L7" i="3"/>
  <c r="K7" i="3"/>
  <c r="J7" i="3"/>
  <c r="I7" i="3"/>
  <c r="H7" i="3"/>
  <c r="X7" i="3" s="1"/>
  <c r="G7" i="3"/>
  <c r="L6" i="3"/>
  <c r="K6" i="3"/>
  <c r="J6" i="3"/>
  <c r="X17" i="3" s="1"/>
  <c r="I6" i="3"/>
  <c r="H6" i="3"/>
  <c r="G6" i="3"/>
  <c r="X5" i="3"/>
  <c r="W5" i="3"/>
  <c r="V5" i="3"/>
  <c r="L5" i="3"/>
  <c r="K5" i="3"/>
  <c r="X18" i="3" s="1"/>
  <c r="J5" i="3"/>
  <c r="I5" i="3"/>
  <c r="H5" i="3"/>
  <c r="G5" i="3"/>
  <c r="K4" i="3"/>
  <c r="J4" i="3"/>
  <c r="I4" i="3"/>
  <c r="H4" i="3"/>
  <c r="Y23" i="2"/>
  <c r="X23" i="2"/>
  <c r="W23" i="2"/>
  <c r="Y22" i="2"/>
  <c r="X22" i="2"/>
  <c r="W22" i="2"/>
  <c r="L22" i="2"/>
  <c r="K22" i="2"/>
  <c r="J22" i="2"/>
  <c r="I22" i="2"/>
  <c r="H22" i="2"/>
  <c r="Y21" i="2"/>
  <c r="X21" i="2"/>
  <c r="W21" i="2"/>
  <c r="L21" i="2"/>
  <c r="K21" i="2"/>
  <c r="J21" i="2"/>
  <c r="I21" i="2"/>
  <c r="H21" i="2"/>
  <c r="G21" i="2"/>
  <c r="Y20" i="2"/>
  <c r="X20" i="2"/>
  <c r="W20" i="2"/>
  <c r="L20" i="2"/>
  <c r="K20" i="2"/>
  <c r="J20" i="2"/>
  <c r="I20" i="2"/>
  <c r="H20" i="2"/>
  <c r="G20" i="2"/>
  <c r="Y19" i="2"/>
  <c r="X19" i="2"/>
  <c r="W19" i="2"/>
  <c r="V19" i="2"/>
  <c r="L19" i="2"/>
  <c r="K19" i="2"/>
  <c r="J19" i="2"/>
  <c r="I19" i="2"/>
  <c r="H19" i="2"/>
  <c r="G19" i="2"/>
  <c r="Y18" i="2"/>
  <c r="X18" i="2"/>
  <c r="W18" i="2"/>
  <c r="K18" i="2"/>
  <c r="J18" i="2"/>
  <c r="I18" i="2"/>
  <c r="H18" i="2"/>
  <c r="Y17" i="2"/>
  <c r="X17" i="2"/>
  <c r="W17" i="2"/>
  <c r="Y16" i="2"/>
  <c r="X16" i="2"/>
  <c r="W16" i="2"/>
  <c r="Y15" i="2"/>
  <c r="X15" i="2"/>
  <c r="W15" i="2"/>
  <c r="L15" i="2"/>
  <c r="K15" i="2"/>
  <c r="J15" i="2"/>
  <c r="I15" i="2"/>
  <c r="H15" i="2"/>
  <c r="Y14" i="2"/>
  <c r="X14" i="2"/>
  <c r="W14" i="2"/>
  <c r="V14" i="2"/>
  <c r="L14" i="2"/>
  <c r="O5" i="2" s="1"/>
  <c r="T5" i="2" s="1"/>
  <c r="K14" i="2"/>
  <c r="J14" i="2"/>
  <c r="I14" i="2"/>
  <c r="H14" i="2"/>
  <c r="G14" i="2"/>
  <c r="Y13" i="2"/>
  <c r="X13" i="2"/>
  <c r="W13" i="2"/>
  <c r="L13" i="2"/>
  <c r="K13" i="2"/>
  <c r="J13" i="2"/>
  <c r="I13" i="2"/>
  <c r="H13" i="2"/>
  <c r="G13" i="2"/>
  <c r="Y12" i="2"/>
  <c r="X12" i="2"/>
  <c r="W12" i="2"/>
  <c r="L12" i="2"/>
  <c r="P5" i="2" s="1"/>
  <c r="K12" i="2"/>
  <c r="J12" i="2"/>
  <c r="I12" i="2"/>
  <c r="H12" i="2"/>
  <c r="G12" i="2"/>
  <c r="Y11" i="2"/>
  <c r="X11" i="2"/>
  <c r="W11" i="2"/>
  <c r="K11" i="2"/>
  <c r="J11" i="2"/>
  <c r="I11" i="2"/>
  <c r="H11" i="2"/>
  <c r="Y10" i="2"/>
  <c r="X10" i="2"/>
  <c r="W10" i="2"/>
  <c r="Y9" i="2"/>
  <c r="X9" i="2"/>
  <c r="W9" i="2"/>
  <c r="V9" i="2"/>
  <c r="Q9" i="2"/>
  <c r="O9" i="2" s="1"/>
  <c r="O7" i="2" s="1"/>
  <c r="P9" i="2"/>
  <c r="Y8" i="2"/>
  <c r="X8" i="2"/>
  <c r="W8" i="2"/>
  <c r="L8" i="2"/>
  <c r="K8" i="2"/>
  <c r="J8" i="2"/>
  <c r="I8" i="2"/>
  <c r="H8" i="2"/>
  <c r="Y7" i="2"/>
  <c r="X7" i="2"/>
  <c r="W7" i="2"/>
  <c r="L7" i="2"/>
  <c r="K7" i="2"/>
  <c r="J7" i="2"/>
  <c r="I7" i="2"/>
  <c r="H3" i="2" s="1"/>
  <c r="H7" i="2"/>
  <c r="G7" i="2"/>
  <c r="Y6" i="2"/>
  <c r="X6" i="2"/>
  <c r="W6" i="2"/>
  <c r="P6" i="2"/>
  <c r="O6" i="2"/>
  <c r="L6" i="2"/>
  <c r="K6" i="2"/>
  <c r="J6" i="2"/>
  <c r="I6" i="2"/>
  <c r="H6" i="2"/>
  <c r="G6" i="2"/>
  <c r="Y5" i="2"/>
  <c r="X5" i="2"/>
  <c r="W5" i="2"/>
  <c r="Q5" i="2"/>
  <c r="L5" i="2"/>
  <c r="K5" i="2"/>
  <c r="J5" i="2"/>
  <c r="I5" i="2"/>
  <c r="H5" i="2"/>
  <c r="O8" i="2" s="1"/>
  <c r="G5" i="2"/>
  <c r="Y4" i="2"/>
  <c r="X4" i="2"/>
  <c r="W4" i="2"/>
  <c r="V4" i="2"/>
  <c r="K4" i="2"/>
  <c r="J4" i="2"/>
  <c r="I4" i="2"/>
  <c r="H4" i="2"/>
  <c r="Y3" i="2"/>
  <c r="X3" i="2"/>
  <c r="W3" i="2"/>
  <c r="H47" i="1"/>
  <c r="N46" i="1"/>
  <c r="M46" i="1"/>
  <c r="L46" i="1"/>
  <c r="K46" i="1"/>
  <c r="H46" i="1"/>
  <c r="N45" i="1"/>
  <c r="M45" i="1"/>
  <c r="L45" i="1"/>
  <c r="K45" i="1"/>
  <c r="H45" i="1"/>
  <c r="N44" i="1"/>
  <c r="M44" i="1"/>
  <c r="L44" i="1"/>
  <c r="K44" i="1"/>
  <c r="H44" i="1"/>
  <c r="N41" i="1"/>
  <c r="M41" i="1"/>
  <c r="L41" i="1"/>
  <c r="K41" i="1"/>
  <c r="H41" i="1"/>
  <c r="N40" i="1"/>
  <c r="M40" i="1"/>
  <c r="L40" i="1"/>
  <c r="K40" i="1"/>
  <c r="H40" i="1"/>
  <c r="N39" i="1"/>
  <c r="M39" i="1"/>
  <c r="L39" i="1"/>
  <c r="K39" i="1"/>
  <c r="H39" i="1"/>
  <c r="I35" i="1"/>
  <c r="H35" i="1"/>
  <c r="I33" i="1"/>
  <c r="I31" i="1"/>
  <c r="M31" i="1" s="1"/>
  <c r="M30" i="1"/>
  <c r="I30" i="1"/>
  <c r="L26" i="1"/>
  <c r="K26" i="1"/>
  <c r="J26" i="1"/>
  <c r="I26" i="1"/>
  <c r="H26" i="1"/>
  <c r="L25" i="1"/>
  <c r="K25" i="1"/>
  <c r="J25" i="1"/>
  <c r="I25" i="1"/>
  <c r="H25" i="1"/>
  <c r="K24" i="1"/>
  <c r="J24" i="1"/>
  <c r="I24" i="1"/>
  <c r="H24" i="1"/>
  <c r="L24" i="1" s="1"/>
  <c r="K23" i="1"/>
  <c r="J23" i="1"/>
  <c r="I23" i="1"/>
  <c r="H23" i="1"/>
  <c r="L20" i="1"/>
  <c r="K20" i="1"/>
  <c r="J20" i="1"/>
  <c r="I20" i="1"/>
  <c r="H20" i="1"/>
  <c r="L19" i="1"/>
  <c r="K19" i="1"/>
  <c r="J19" i="1"/>
  <c r="I19" i="1"/>
  <c r="H19" i="1"/>
  <c r="L18" i="1"/>
  <c r="K18" i="1"/>
  <c r="J18" i="1"/>
  <c r="I18" i="1"/>
  <c r="H18" i="1"/>
  <c r="L17" i="1"/>
  <c r="K17" i="1"/>
  <c r="J17" i="1"/>
  <c r="I17" i="1"/>
  <c r="H17" i="1"/>
  <c r="L14" i="1"/>
  <c r="K14" i="1"/>
  <c r="J14" i="1"/>
  <c r="I14" i="1"/>
  <c r="H14" i="1"/>
  <c r="L13" i="1"/>
  <c r="K13" i="1"/>
  <c r="J13" i="1"/>
  <c r="I13" i="1"/>
  <c r="H13" i="1"/>
  <c r="L12" i="1"/>
  <c r="K12" i="1"/>
  <c r="J12" i="1"/>
  <c r="I12" i="1"/>
  <c r="H12" i="1"/>
  <c r="K11" i="1"/>
  <c r="J11" i="1"/>
  <c r="I11" i="1"/>
  <c r="H11" i="1"/>
  <c r="L11" i="1" s="1"/>
  <c r="L8" i="1"/>
  <c r="K8" i="1"/>
  <c r="J8" i="1"/>
  <c r="I8" i="1"/>
  <c r="H8" i="1"/>
  <c r="L7" i="1"/>
  <c r="K7" i="1"/>
  <c r="J7" i="1"/>
  <c r="I7" i="1"/>
  <c r="H7" i="1"/>
  <c r="L6" i="1"/>
  <c r="K6" i="1"/>
  <c r="J6" i="1"/>
  <c r="I6" i="1"/>
  <c r="H6" i="1"/>
  <c r="K5" i="1"/>
  <c r="J5" i="1"/>
  <c r="I5" i="1"/>
  <c r="H5" i="1"/>
  <c r="T11" i="5" l="1"/>
  <c r="U11" i="5"/>
  <c r="E5" i="5"/>
  <c r="T5" i="5"/>
  <c r="G10" i="5"/>
  <c r="G11" i="5" s="1" a="1"/>
  <c r="G11" i="5" s="1"/>
  <c r="G13" i="5" s="1" a="1"/>
  <c r="G13" i="5" s="1"/>
  <c r="U5" i="5"/>
  <c r="H10" i="5"/>
  <c r="T8" i="5"/>
  <c r="T6" i="5"/>
  <c r="U8" i="5"/>
  <c r="S4" i="5"/>
  <c r="S7" i="5"/>
  <c r="S10" i="5"/>
  <c r="G16" i="5"/>
  <c r="G19" i="5" s="1" a="1"/>
  <c r="G19" i="5" s="1"/>
  <c r="V6" i="5"/>
  <c r="T4" i="5"/>
  <c r="T7" i="5"/>
  <c r="T10" i="5"/>
  <c r="H16" i="5"/>
  <c r="H19" i="5" s="1" a="1"/>
  <c r="H19" i="5" s="1"/>
  <c r="V5" i="5"/>
  <c r="S9" i="5"/>
  <c r="T3" i="5"/>
  <c r="E12" i="5"/>
  <c r="U6" i="5"/>
  <c r="V3" i="5"/>
  <c r="V9" i="5"/>
  <c r="U4" i="5"/>
  <c r="U7" i="5"/>
  <c r="U10" i="5"/>
  <c r="V8" i="5"/>
  <c r="S3" i="5"/>
  <c r="S6" i="5"/>
  <c r="T9" i="5"/>
  <c r="U9" i="5"/>
  <c r="H4" i="5"/>
  <c r="H6" i="5" s="1" a="1"/>
  <c r="H6" i="5" s="1"/>
  <c r="V4" i="5"/>
  <c r="V7" i="5"/>
  <c r="V10" i="5"/>
  <c r="E17" i="5"/>
  <c r="I17" i="5" s="1" a="1"/>
  <c r="I17" i="5" s="1"/>
  <c r="V11" i="5"/>
  <c r="F4" i="5"/>
  <c r="F6" i="5" s="1" a="1"/>
  <c r="F6" i="5" s="1"/>
  <c r="U3" i="5"/>
  <c r="S5" i="5"/>
  <c r="S8" i="5"/>
  <c r="F19" i="5" a="1"/>
  <c r="F19" i="5" s="1"/>
  <c r="H11" i="5" a="1"/>
  <c r="H11" i="5" s="1"/>
  <c r="H13" i="5" s="1" a="1"/>
  <c r="H13" i="5" s="1"/>
  <c r="F11" i="5" a="1"/>
  <c r="F11" i="5" s="1"/>
  <c r="H18" i="5" a="1"/>
  <c r="H18" i="5" s="1"/>
  <c r="I18" i="5" a="1"/>
  <c r="I18" i="5" s="1"/>
  <c r="F18" i="5" a="1"/>
  <c r="F18" i="5" s="1"/>
  <c r="T7" i="2"/>
  <c r="AB16" i="3"/>
  <c r="Y16" i="3"/>
  <c r="O6" i="3"/>
  <c r="W8" i="3"/>
  <c r="W19" i="3"/>
  <c r="Q40" i="1"/>
  <c r="I32" i="1"/>
  <c r="M32" i="1" s="1"/>
  <c r="H33" i="1"/>
  <c r="J33" i="1" s="1"/>
  <c r="T6" i="2"/>
  <c r="P7" i="2"/>
  <c r="Q7" i="2" s="1"/>
  <c r="Q6" i="2"/>
  <c r="P8" i="2"/>
  <c r="Q8" i="2" s="1"/>
  <c r="R5" i="2" s="1"/>
  <c r="S5" i="2" s="1"/>
  <c r="X6" i="3"/>
  <c r="H3" i="3"/>
  <c r="X8" i="3"/>
  <c r="O8" i="3"/>
  <c r="Q8" i="3" s="1"/>
  <c r="X19" i="3"/>
  <c r="X15" i="3"/>
  <c r="W15" i="3"/>
  <c r="Q39" i="1"/>
  <c r="L5" i="1"/>
  <c r="H30" i="1" s="1"/>
  <c r="J30" i="1" s="1"/>
  <c r="P8" i="3"/>
  <c r="AB5" i="3"/>
  <c r="Y5" i="3"/>
  <c r="H31" i="1"/>
  <c r="J31" i="1" s="1"/>
  <c r="L23" i="1"/>
  <c r="AB7" i="3"/>
  <c r="Y7" i="3"/>
  <c r="W17" i="3"/>
  <c r="O9" i="3"/>
  <c r="W6" i="3"/>
  <c r="W18" i="3"/>
  <c r="O5" i="3"/>
  <c r="F5" i="5" l="1" a="1"/>
  <c r="F5" i="5" s="1"/>
  <c r="F17" i="5" a="1"/>
  <c r="F17" i="5" s="1"/>
  <c r="G17" i="5" a="1"/>
  <c r="G17" i="5" s="1"/>
  <c r="H5" i="5" a="1"/>
  <c r="H5" i="5" s="1"/>
  <c r="G18" i="5" a="1"/>
  <c r="G18" i="5" s="1"/>
  <c r="H17" i="5" a="1"/>
  <c r="H17" i="5" s="1"/>
  <c r="H7" i="5" a="1"/>
  <c r="H7" i="5" s="1"/>
  <c r="L8" i="5"/>
  <c r="F7" i="5" a="1"/>
  <c r="F7" i="5" s="1"/>
  <c r="F13" i="5" a="1"/>
  <c r="F13" i="5" s="1"/>
  <c r="M6" i="5" s="1"/>
  <c r="I11" i="5" a="1"/>
  <c r="I11" i="5" s="1"/>
  <c r="G12" i="5" a="1"/>
  <c r="G12" i="5" s="1"/>
  <c r="F12" i="5" a="1"/>
  <c r="F12" i="5" s="1"/>
  <c r="I12" i="5" s="1" a="1"/>
  <c r="I12" i="5" s="1"/>
  <c r="H12" i="5" a="1"/>
  <c r="H12" i="5" s="1"/>
  <c r="G6" i="5" a="1"/>
  <c r="G6" i="5" s="1"/>
  <c r="G5" i="5" a="1"/>
  <c r="G5" i="5" s="1"/>
  <c r="R7" i="2"/>
  <c r="S7" i="2" s="1"/>
  <c r="Z16" i="3"/>
  <c r="AA16" i="3" s="1"/>
  <c r="K31" i="1"/>
  <c r="L31" i="1" s="1"/>
  <c r="Z5" i="3"/>
  <c r="AA5" i="3" s="1"/>
  <c r="Q5" i="3"/>
  <c r="R5" i="3" s="1"/>
  <c r="S5" i="3" s="1"/>
  <c r="T5" i="3"/>
  <c r="Y6" i="3"/>
  <c r="Z6" i="3" s="1"/>
  <c r="AA6" i="3" s="1"/>
  <c r="AB6" i="3"/>
  <c r="R6" i="2"/>
  <c r="S6" i="2" s="1"/>
  <c r="Q41" i="1"/>
  <c r="O7" i="3"/>
  <c r="K30" i="1"/>
  <c r="L30" i="1" s="1"/>
  <c r="H32" i="1"/>
  <c r="J32" i="1" s="1"/>
  <c r="K32" i="1" s="1"/>
  <c r="L32" i="1" s="1"/>
  <c r="Y19" i="3"/>
  <c r="Y17" i="3"/>
  <c r="Z17" i="3" s="1"/>
  <c r="AA17" i="3" s="1"/>
  <c r="AB17" i="3"/>
  <c r="AB18" i="3"/>
  <c r="Y18" i="3"/>
  <c r="Z18" i="3" s="1"/>
  <c r="AA18" i="3" s="1"/>
  <c r="T6" i="3"/>
  <c r="Q6" i="3"/>
  <c r="R6" i="3" s="1"/>
  <c r="S6" i="3" s="1"/>
  <c r="Y8" i="3"/>
  <c r="Z7" i="3" s="1"/>
  <c r="AA7" i="3" s="1"/>
  <c r="AB15" i="3"/>
  <c r="Y15" i="3"/>
  <c r="Z15" i="3" s="1"/>
  <c r="AA15" i="3" s="1"/>
  <c r="I5" i="5" l="1" a="1"/>
  <c r="I5" i="5" s="1"/>
  <c r="L5" i="5" s="1"/>
  <c r="F3" i="5"/>
  <c r="M5" i="5"/>
  <c r="I13" i="5" a="1"/>
  <c r="I13" i="5" s="1"/>
  <c r="L6" i="5"/>
  <c r="M7" i="5"/>
  <c r="I6" i="5" a="1"/>
  <c r="I6" i="5" s="1"/>
  <c r="G7" i="5" a="1"/>
  <c r="G7" i="5" s="1"/>
  <c r="Q7" i="3"/>
  <c r="R7" i="3" s="1"/>
  <c r="S7" i="3" s="1"/>
  <c r="T7" i="3"/>
  <c r="I7" i="5" l="1" a="1"/>
  <c r="I7" i="5" s="1"/>
  <c r="M9" i="5" s="1"/>
  <c r="L9" i="5" s="1"/>
  <c r="L7" i="5" s="1"/>
  <c r="N6" i="5"/>
  <c r="Q6" i="5"/>
  <c r="N5" i="5"/>
  <c r="Q5" i="5"/>
  <c r="M8" i="5" l="1"/>
  <c r="N8" i="5" s="1"/>
  <c r="O6" i="5"/>
  <c r="P6" i="5" s="1"/>
  <c r="Q7" i="5"/>
  <c r="N7" i="5"/>
  <c r="O7" i="5" s="1"/>
  <c r="P7" i="5" s="1"/>
  <c r="O5" i="5"/>
  <c r="P5" i="5" s="1"/>
</calcChain>
</file>

<file path=xl/sharedStrings.xml><?xml version="1.0" encoding="utf-8"?>
<sst xmlns="http://schemas.openxmlformats.org/spreadsheetml/2006/main" count="246" uniqueCount="63">
  <si>
    <t>Two Factor ANOVA with replication</t>
  </si>
  <si>
    <t>Anova: Two-Factor With Replication</t>
  </si>
  <si>
    <t>Interaction</t>
  </si>
  <si>
    <t>Crop</t>
  </si>
  <si>
    <t>SUMMARY</t>
  </si>
  <si>
    <t>Wheat</t>
  </si>
  <si>
    <t>Corn</t>
  </si>
  <si>
    <t>Soy</t>
  </si>
  <si>
    <t>Rice</t>
  </si>
  <si>
    <t>Total</t>
  </si>
  <si>
    <t>Fertilizer</t>
  </si>
  <si>
    <t>Blend X</t>
  </si>
  <si>
    <t>Count</t>
  </si>
  <si>
    <t>Sum</t>
  </si>
  <si>
    <t>Average</t>
  </si>
  <si>
    <t>Variance</t>
  </si>
  <si>
    <t>Blend Y</t>
  </si>
  <si>
    <t>Blend Z</t>
  </si>
  <si>
    <t>Using Real Statistics functions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</si>
  <si>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</si>
  <si>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</si>
  <si>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</si>
  <si>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</si>
  <si>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</si>
  <si>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</si>
  <si>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</si>
  <si>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</si>
  <si>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Source</t>
  </si>
  <si>
    <t>Fertilizer (Rows)</t>
  </si>
  <si>
    <t>Crop (Columns)</t>
  </si>
  <si>
    <t xml:space="preserve">Crop </t>
  </si>
  <si>
    <t>Inter</t>
  </si>
  <si>
    <t>Within</t>
  </si>
  <si>
    <t xml:space="preserve">Alternative way of calculating SSW </t>
  </si>
  <si>
    <t>ROWS(FERTLIZER)</t>
  </si>
  <si>
    <t>SSW</t>
  </si>
  <si>
    <t>SSBet</t>
  </si>
  <si>
    <t>SST</t>
  </si>
  <si>
    <t>COLUMNS (CROP)</t>
  </si>
  <si>
    <t>Means</t>
  </si>
  <si>
    <t>Two Factor ANOVA Real Statistics analysis</t>
  </si>
  <si>
    <t>Descriptive Statistics</t>
  </si>
  <si>
    <t>Two Factor Anova</t>
  </si>
  <si>
    <t>Input data with rows and columns exchanged</t>
  </si>
  <si>
    <t>COUNT</t>
  </si>
  <si>
    <t>Alpha</t>
  </si>
  <si>
    <t>p-value</t>
  </si>
  <si>
    <t>p eta-sq</t>
  </si>
  <si>
    <t>Rows</t>
  </si>
  <si>
    <t>Columns</t>
  </si>
  <si>
    <t>MEAN</t>
  </si>
  <si>
    <t>VARIANCE</t>
  </si>
  <si>
    <t>Two Factor ANOVA Simple Effects</t>
  </si>
  <si>
    <t>Simple Effects: Rows</t>
  </si>
  <si>
    <t>Error</t>
  </si>
  <si>
    <t>Simple Effects: Columns</t>
  </si>
  <si>
    <t>Input in Excel Anova format</t>
  </si>
  <si>
    <t>Blend</t>
  </si>
  <si>
    <t>Yield</t>
  </si>
  <si>
    <t>Real Statistics Using Excel</t>
  </si>
  <si>
    <t>Updated</t>
  </si>
  <si>
    <t>Copyright © 2013 - 2025 Charles Zaiontz</t>
  </si>
  <si>
    <t>Real Statistics Support for Two Factor Anova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</si>
</sst>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1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indexed="18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right"/>
    </xf>
    <xf numFmtId="0" fontId="3" fillId="0" borderId="5" xfId="0" applyFont="1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2" fillId="0" borderId="21" xfId="0" applyFont="1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63" xfId="0" applyBorder="1"/>
    <xf numFmtId="0" fontId="0" fillId="0" borderId="63" xfId="0" applyBorder="1" applyAlignment="1">
      <alignment horizontal="right"/>
    </xf>
    <xf numFmtId="0" fontId="0" fillId="0" borderId="64" xfId="0" applyBorder="1"/>
    <xf numFmtId="0" fontId="0" fillId="0" borderId="65" xfId="0" applyBorder="1"/>
    <xf numFmtId="0" fontId="0" fillId="0" borderId="66" xfId="0" applyBorder="1"/>
    <xf numFmtId="0" fontId="0" fillId="0" borderId="67" xfId="0" applyBorder="1"/>
    <xf numFmtId="0" fontId="0" fillId="0" borderId="68" xfId="0" applyBorder="1"/>
    <xf numFmtId="0" fontId="0" fillId="0" borderId="38" xfId="0" applyBorder="1" applyAlignment="1">
      <alignment horizontal="right"/>
    </xf>
    <xf numFmtId="1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Blend X</c:v>
          </c:tx>
          <c:marker>
            <c:symbol val="none"/>
          </c:marker>
          <c:cat>
            <c:strRef>
              <c:f>'ANOVA 2.2'!$K$43:$N$43</c:f>
              <c:strCache>
                <c:ptCount val="4"/>
                <c:pt idx="0">
                  <c:v>Wheat</c:v>
                </c:pt>
                <c:pt idx="1">
                  <c:v>Corn</c:v>
                </c:pt>
                <c:pt idx="2">
                  <c:v>Soy</c:v>
                </c:pt>
                <c:pt idx="3">
                  <c:v>Rice</c:v>
                </c:pt>
              </c:strCache>
            </c:strRef>
          </c:cat>
          <c:val>
            <c:numRef>
              <c:f>'ANOVA 2.2'!$K$44:$N$44</c:f>
              <c:numCache>
                <c:formatCode>General</c:formatCode>
                <c:ptCount val="4"/>
                <c:pt idx="0">
                  <c:v>131.80000000000001</c:v>
                </c:pt>
                <c:pt idx="1">
                  <c:v>135.4</c:v>
                </c:pt>
                <c:pt idx="2">
                  <c:v>175.8</c:v>
                </c:pt>
                <c:pt idx="3">
                  <c:v>141.19999999999999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EE-4572-B2C5-DBD2BEDB5610}"/>
            </c:ext>
          </c:extLst>
        </c:ser>
        <c:ser>
          <c:idx val="1"/>
          <c:order val="1"/>
          <c:tx>
            <c:v>Blend Y</c:v>
          </c:tx>
          <c:marker>
            <c:symbol val="none"/>
          </c:marker>
          <c:cat>
            <c:strRef>
              <c:f>'ANOVA 2.2'!$K$43:$N$43</c:f>
              <c:strCache>
                <c:ptCount val="4"/>
                <c:pt idx="0">
                  <c:v>Wheat</c:v>
                </c:pt>
                <c:pt idx="1">
                  <c:v>Corn</c:v>
                </c:pt>
                <c:pt idx="2">
                  <c:v>Soy</c:v>
                </c:pt>
                <c:pt idx="3">
                  <c:v>Rice</c:v>
                </c:pt>
              </c:strCache>
            </c:strRef>
          </c:cat>
          <c:val>
            <c:numRef>
              <c:f>'ANOVA 2.2'!$K$45:$N$45</c:f>
              <c:numCache>
                <c:formatCode>General</c:formatCode>
                <c:ptCount val="4"/>
                <c:pt idx="0">
                  <c:v>143.19999999999999</c:v>
                </c:pt>
                <c:pt idx="1">
                  <c:v>159.6</c:v>
                </c:pt>
                <c:pt idx="2">
                  <c:v>140.19999999999999</c:v>
                </c:pt>
                <c:pt idx="3">
                  <c:v>165.4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EE-4572-B2C5-DBD2BEDB5610}"/>
            </c:ext>
          </c:extLst>
        </c:ser>
        <c:ser>
          <c:idx val="2"/>
          <c:order val="2"/>
          <c:tx>
            <c:v>Blend Z</c:v>
          </c:tx>
          <c:marker>
            <c:symbol val="none"/>
          </c:marker>
          <c:cat>
            <c:strRef>
              <c:f>'ANOVA 2.2'!$K$43:$N$43</c:f>
              <c:strCache>
                <c:ptCount val="4"/>
                <c:pt idx="0">
                  <c:v>Wheat</c:v>
                </c:pt>
                <c:pt idx="1">
                  <c:v>Corn</c:v>
                </c:pt>
                <c:pt idx="2">
                  <c:v>Soy</c:v>
                </c:pt>
                <c:pt idx="3">
                  <c:v>Rice</c:v>
                </c:pt>
              </c:strCache>
            </c:strRef>
          </c:cat>
          <c:val>
            <c:numRef>
              <c:f>'ANOVA 2.2'!$K$46:$N$46</c:f>
              <c:numCache>
                <c:formatCode>General</c:formatCode>
                <c:ptCount val="4"/>
                <c:pt idx="0">
                  <c:v>164.4</c:v>
                </c:pt>
                <c:pt idx="1">
                  <c:v>173.6</c:v>
                </c:pt>
                <c:pt idx="2">
                  <c:v>186.4</c:v>
                </c:pt>
                <c:pt idx="3">
                  <c:v>172.4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EE-4572-B2C5-DBD2BEDB5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3672640"/>
        <c:axId val="753673032"/>
      </c:lineChart>
      <c:catAx>
        <c:axId val="753672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53673032"/>
        <c:crosses val="autoZero"/>
        <c:auto val="1"/>
        <c:lblAlgn val="ctr"/>
        <c:lblOffset val="100"/>
        <c:noMultiLvlLbl val="0"/>
      </c:catAx>
      <c:valAx>
        <c:axId val="753673032"/>
        <c:scaling>
          <c:orientation val="minMax"/>
          <c:min val="12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36726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'ANOVA 2.2'!$K$43</c:f>
              <c:strCache>
                <c:ptCount val="1"/>
                <c:pt idx="0">
                  <c:v>Wheat</c:v>
                </c:pt>
              </c:strCache>
            </c:strRef>
          </c:tx>
          <c:marker>
            <c:symbol val="none"/>
          </c:marker>
          <c:cat>
            <c:strRef>
              <c:f>'ANOVA 2.2'!$J$44:$J$46</c:f>
              <c:strCache>
                <c:ptCount val="3"/>
                <c:pt idx="0">
                  <c:v>Blend X</c:v>
                </c:pt>
                <c:pt idx="1">
                  <c:v>Blend Y</c:v>
                </c:pt>
                <c:pt idx="2">
                  <c:v>Blend Z</c:v>
                </c:pt>
              </c:strCache>
            </c:strRef>
          </c:cat>
          <c:val>
            <c:numRef>
              <c:f>'ANOVA 2.2'!$K$44:$K$46</c:f>
              <c:numCache>
                <c:formatCode>General</c:formatCode>
                <c:ptCount val="3"/>
                <c:pt idx="0">
                  <c:v>131.80000000000001</c:v>
                </c:pt>
                <c:pt idx="1">
                  <c:v>143.19999999999999</c:v>
                </c:pt>
                <c:pt idx="2">
                  <c:v>164.4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FF-4DB6-A38A-FC9AB0E693D7}"/>
            </c:ext>
          </c:extLst>
        </c:ser>
        <c:ser>
          <c:idx val="1"/>
          <c:order val="1"/>
          <c:tx>
            <c:strRef>
              <c:f>'ANOVA 2.2'!$L$43</c:f>
              <c:strCache>
                <c:ptCount val="1"/>
                <c:pt idx="0">
                  <c:v>Corn</c:v>
                </c:pt>
              </c:strCache>
            </c:strRef>
          </c:tx>
          <c:marker>
            <c:symbol val="none"/>
          </c:marker>
          <c:cat>
            <c:strRef>
              <c:f>'ANOVA 2.2'!$J$44:$J$46</c:f>
              <c:strCache>
                <c:ptCount val="3"/>
                <c:pt idx="0">
                  <c:v>Blend X</c:v>
                </c:pt>
                <c:pt idx="1">
                  <c:v>Blend Y</c:v>
                </c:pt>
                <c:pt idx="2">
                  <c:v>Blend Z</c:v>
                </c:pt>
              </c:strCache>
            </c:strRef>
          </c:cat>
          <c:val>
            <c:numRef>
              <c:f>'ANOVA 2.2'!$L$44:$L$46</c:f>
              <c:numCache>
                <c:formatCode>General</c:formatCode>
                <c:ptCount val="3"/>
                <c:pt idx="0">
                  <c:v>135.4</c:v>
                </c:pt>
                <c:pt idx="1">
                  <c:v>159.6</c:v>
                </c:pt>
                <c:pt idx="2">
                  <c:v>173.6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FF-4DB6-A38A-FC9AB0E693D7}"/>
            </c:ext>
          </c:extLst>
        </c:ser>
        <c:ser>
          <c:idx val="2"/>
          <c:order val="2"/>
          <c:tx>
            <c:strRef>
              <c:f>'ANOVA 2.2'!$M$43</c:f>
              <c:strCache>
                <c:ptCount val="1"/>
                <c:pt idx="0">
                  <c:v>Soy</c:v>
                </c:pt>
              </c:strCache>
            </c:strRef>
          </c:tx>
          <c:marker>
            <c:symbol val="none"/>
          </c:marker>
          <c:cat>
            <c:strRef>
              <c:f>'ANOVA 2.2'!$J$44:$J$46</c:f>
              <c:strCache>
                <c:ptCount val="3"/>
                <c:pt idx="0">
                  <c:v>Blend X</c:v>
                </c:pt>
                <c:pt idx="1">
                  <c:v>Blend Y</c:v>
                </c:pt>
                <c:pt idx="2">
                  <c:v>Blend Z</c:v>
                </c:pt>
              </c:strCache>
            </c:strRef>
          </c:cat>
          <c:val>
            <c:numRef>
              <c:f>'ANOVA 2.2'!$M$44:$M$46</c:f>
              <c:numCache>
                <c:formatCode>General</c:formatCode>
                <c:ptCount val="3"/>
                <c:pt idx="0">
                  <c:v>175.8</c:v>
                </c:pt>
                <c:pt idx="1">
                  <c:v>140.19999999999999</c:v>
                </c:pt>
                <c:pt idx="2">
                  <c:v>186.4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FF-4DB6-A38A-FC9AB0E693D7}"/>
            </c:ext>
          </c:extLst>
        </c:ser>
        <c:ser>
          <c:idx val="3"/>
          <c:order val="3"/>
          <c:tx>
            <c:strRef>
              <c:f>'ANOVA 2.2'!$N$43</c:f>
              <c:strCache>
                <c:ptCount val="1"/>
                <c:pt idx="0">
                  <c:v>Rice</c:v>
                </c:pt>
              </c:strCache>
            </c:strRef>
          </c:tx>
          <c:marker>
            <c:symbol val="none"/>
          </c:marker>
          <c:cat>
            <c:strRef>
              <c:f>'ANOVA 2.2'!$J$44:$J$46</c:f>
              <c:strCache>
                <c:ptCount val="3"/>
                <c:pt idx="0">
                  <c:v>Blend X</c:v>
                </c:pt>
                <c:pt idx="1">
                  <c:v>Blend Y</c:v>
                </c:pt>
                <c:pt idx="2">
                  <c:v>Blend Z</c:v>
                </c:pt>
              </c:strCache>
            </c:strRef>
          </c:cat>
          <c:val>
            <c:numRef>
              <c:f>'ANOVA 2.2'!$N$44:$N$46</c:f>
              <c:numCache>
                <c:formatCode>General</c:formatCode>
                <c:ptCount val="3"/>
                <c:pt idx="0">
                  <c:v>141.19999999999999</c:v>
                </c:pt>
                <c:pt idx="1">
                  <c:v>165.4</c:v>
                </c:pt>
                <c:pt idx="2">
                  <c:v>172.4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CFF-4DB6-A38A-FC9AB0E6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5713176"/>
        <c:axId val="515713568"/>
      </c:lineChart>
      <c:catAx>
        <c:axId val="5157131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515713568"/>
        <c:crosses val="autoZero"/>
        <c:auto val="1"/>
        <c:lblAlgn val="ctr"/>
        <c:lblOffset val="100"/>
        <c:noMultiLvlLbl val="0"/>
      </c:catAx>
      <c:valAx>
        <c:axId val="515713568"/>
        <c:scaling>
          <c:orientation val="minMax"/>
          <c:min val="12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157131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10584</xdr:colOff>
      <xdr:row>2</xdr:row>
      <xdr:rowOff>20108</xdr:rowOff>
    </xdr:from>
    <xdr:to>
      <xdr:col>21</xdr:col>
      <xdr:colOff>285751</xdr:colOff>
      <xdr:row>16</xdr:row>
      <xdr:rowOff>64558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5C4A41-2504-46E3-9C78-7B223603A4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370417</xdr:colOff>
      <xdr:row>2</xdr:row>
      <xdr:rowOff>20106</xdr:rowOff>
    </xdr:from>
    <xdr:to>
      <xdr:col>29</xdr:col>
      <xdr:colOff>31750</xdr:colOff>
      <xdr:row>16</xdr:row>
      <xdr:rowOff>64556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C658B08-9A6D-42A8-B9EA-E050F7D9B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ANOVA%201.xlsx" TargetMode="External"/><Relationship Id="rId1" Type="http://schemas.openxmlformats.org/officeDocument/2006/relationships/externalLinkPath" Target="/38f5cd2f1f925cfd/Documenti/A%20Real%20Statistics%202020/Examples/Real%20Statistics%20Examples%20ANOVA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ANOVA 1"/>
      <sheetName val="ANOVA 2"/>
      <sheetName val="ANOVA 3"/>
      <sheetName val="ANOVA 4"/>
      <sheetName val="ANOVA 5"/>
      <sheetName val="ANOVA 6"/>
      <sheetName val="Contrast 1"/>
      <sheetName val="Contrast 2"/>
      <sheetName val="Contrast 2a"/>
      <sheetName val="Contrast 3"/>
      <sheetName val="Tukey 1"/>
      <sheetName val="Tukey 2"/>
      <sheetName val="Tuk-Kra"/>
      <sheetName val="Gam-How"/>
      <sheetName val="REGWQ 1"/>
      <sheetName val="REGWQ 1a"/>
      <sheetName val="REGWQ 2"/>
      <sheetName val="REGWQ 2a"/>
      <sheetName val="Dunnett"/>
      <sheetName val="Hsu 1"/>
      <sheetName val="Hsu 2"/>
      <sheetName val="Scheffe 1"/>
      <sheetName val="Scheffe 1a"/>
      <sheetName val="Pairwise t"/>
      <sheetName val="Levene 1"/>
      <sheetName val="Levene 2"/>
      <sheetName val="Bartlett"/>
      <sheetName val="Fligner"/>
      <sheetName val="Log Transform"/>
      <sheetName val="Outliers"/>
      <sheetName val="KW"/>
      <sheetName val="KW-Post"/>
      <sheetName val="Nom-Ord"/>
      <sheetName val="NomOrd 2"/>
      <sheetName val="NomOrd 3"/>
      <sheetName val="JT"/>
      <sheetName val="Brown F 1"/>
      <sheetName val="Brown F 2"/>
      <sheetName val="Welch 1"/>
      <sheetName val="Welch 1a"/>
      <sheetName val="Welch 2"/>
      <sheetName val="Power Anova"/>
      <sheetName val="Power Tukey 1"/>
      <sheetName val="Power Tukey 2"/>
      <sheetName val="Anova Resamp"/>
      <sheetName val="Anova Resamp 1"/>
      <sheetName val="COV"/>
      <sheetName val="Moods 2"/>
      <sheetName val="ANOVA 2.1"/>
      <sheetName val="ANOVA 2.1a"/>
      <sheetName val="ANOVA 2.1b"/>
      <sheetName val="ANOVA 2.2"/>
      <sheetName val="ANOVA 2.2A"/>
      <sheetName val="ANOVA 2.3"/>
      <sheetName val="ANOVA 2.4"/>
      <sheetName val="ANOVA 2.5"/>
      <sheetName val="ANOVA 2.6"/>
      <sheetName val="Simple Effect"/>
      <sheetName val="Contrasts 2.1"/>
      <sheetName val="Contrasts 2.2"/>
      <sheetName val="Tukey 2.1"/>
      <sheetName val="ANOVA 3.1"/>
      <sheetName val="ANOVA 3.2"/>
      <sheetName val="ANOVA 3.2a"/>
      <sheetName val="ANOVA 3.3"/>
      <sheetName val="ANOVA 3.4"/>
      <sheetName val="ANOVA 3.5"/>
      <sheetName val="Gage"/>
      <sheetName val="Gage 1"/>
      <sheetName val="Scheirer"/>
      <sheetName val="ART 2"/>
      <sheetName val="ART 2a"/>
      <sheetName val="ART 3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Stud. Q Table"/>
      <sheetName val="Stud. Q Table 2"/>
      <sheetName val=" Dunnett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>
        <row r="43">
          <cell r="K43" t="str">
            <v>Wheat</v>
          </cell>
          <cell r="L43" t="str">
            <v>Corn</v>
          </cell>
          <cell r="M43" t="str">
            <v>Soy</v>
          </cell>
          <cell r="N43" t="str">
            <v>Rice</v>
          </cell>
        </row>
        <row r="44">
          <cell r="J44" t="str">
            <v>Blend X</v>
          </cell>
          <cell r="K44">
            <v>131.80000000000001</v>
          </cell>
          <cell r="L44">
            <v>135.4</v>
          </cell>
          <cell r="M44">
            <v>175.8</v>
          </cell>
          <cell r="N44">
            <v>141.19999999999999</v>
          </cell>
        </row>
        <row r="45">
          <cell r="J45" t="str">
            <v>Blend Y</v>
          </cell>
          <cell r="K45">
            <v>143.19999999999999</v>
          </cell>
          <cell r="L45">
            <v>159.6</v>
          </cell>
          <cell r="M45">
            <v>140.19999999999999</v>
          </cell>
          <cell r="N45">
            <v>165.4</v>
          </cell>
        </row>
        <row r="46">
          <cell r="J46" t="str">
            <v>Blend Z</v>
          </cell>
          <cell r="K46">
            <v>164.4</v>
          </cell>
          <cell r="L46">
            <v>173.6</v>
          </cell>
          <cell r="M46">
            <v>186.4</v>
          </cell>
          <cell r="N46">
            <v>172.4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926A4-5177-4E45-9C17-6B2FFC2BF561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59</v>
      </c>
    </row>
    <row r="2" spans="1:2" x14ac:dyDescent="0.35">
      <c r="A2" t="s">
        <v>62</v>
      </c>
    </row>
    <row r="4" spans="1:2" x14ac:dyDescent="0.35">
      <c r="A4" t="s">
        <v>60</v>
      </c>
      <c r="B4" s="77">
        <v>45962</v>
      </c>
    </row>
    <row r="6" spans="1:2" x14ac:dyDescent="0.35">
      <c r="A6" s="78" t="s">
        <v>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ECD4C-79D3-47D5-8895-D9DB423E5C96}">
  <sheetPr codeName="Sheet112"/>
  <dimension ref="A1:U47"/>
  <sheetViews>
    <sheetView zoomScaleNormal="100" workbookViewId="0"/>
  </sheetViews>
  <sheetFormatPr defaultRowHeight="14.5" x14ac:dyDescent="0.35"/>
  <cols>
    <col min="7" max="7" width="17.26953125" customWidth="1"/>
  </cols>
  <sheetData>
    <row r="1" spans="1:15" x14ac:dyDescent="0.35">
      <c r="A1" s="1" t="s">
        <v>0</v>
      </c>
      <c r="G1" t="s">
        <v>1</v>
      </c>
      <c r="O1" t="s">
        <v>2</v>
      </c>
    </row>
    <row r="3" spans="1:15" x14ac:dyDescent="0.35">
      <c r="B3" s="2" t="s">
        <v>3</v>
      </c>
      <c r="C3" s="3"/>
      <c r="D3" s="3"/>
      <c r="E3" s="4"/>
      <c r="G3" t="s">
        <v>4</v>
      </c>
      <c r="H3" s="5" t="s">
        <v>5</v>
      </c>
      <c r="I3" s="5" t="s">
        <v>6</v>
      </c>
      <c r="J3" s="5" t="s">
        <v>7</v>
      </c>
      <c r="K3" s="5" t="s">
        <v>8</v>
      </c>
      <c r="L3" s="5" t="s">
        <v>9</v>
      </c>
    </row>
    <row r="4" spans="1:15" ht="15" thickBot="1" x14ac:dyDescent="0.4">
      <c r="A4" s="6" t="s">
        <v>10</v>
      </c>
      <c r="B4" s="7" t="s">
        <v>5</v>
      </c>
      <c r="C4" s="7" t="s">
        <v>6</v>
      </c>
      <c r="D4" s="7" t="s">
        <v>7</v>
      </c>
      <c r="E4" s="7" t="s">
        <v>8</v>
      </c>
      <c r="G4" s="8" t="s">
        <v>11</v>
      </c>
      <c r="H4" s="8"/>
      <c r="I4" s="8"/>
      <c r="J4" s="8"/>
      <c r="K4" s="8"/>
      <c r="L4" s="8"/>
    </row>
    <row r="5" spans="1:15" x14ac:dyDescent="0.35">
      <c r="A5" s="9" t="s">
        <v>11</v>
      </c>
      <c r="B5" s="10">
        <v>123</v>
      </c>
      <c r="C5" s="10">
        <v>128</v>
      </c>
      <c r="D5" s="10">
        <v>166</v>
      </c>
      <c r="E5" s="10">
        <v>151</v>
      </c>
      <c r="G5" t="s">
        <v>12</v>
      </c>
      <c r="H5">
        <f>COUNT(B5:B9)</f>
        <v>5</v>
      </c>
      <c r="I5">
        <f>COUNT(C5:C9)</f>
        <v>5</v>
      </c>
      <c r="J5">
        <f>COUNT(D5:D9)</f>
        <v>5</v>
      </c>
      <c r="K5">
        <f>COUNT(E5:E9)</f>
        <v>5</v>
      </c>
      <c r="L5">
        <f>SUM(H5:K5)</f>
        <v>20</v>
      </c>
    </row>
    <row r="6" spans="1:15" x14ac:dyDescent="0.35">
      <c r="A6" s="11"/>
      <c r="B6" s="12">
        <v>156</v>
      </c>
      <c r="C6" s="12">
        <v>150</v>
      </c>
      <c r="D6" s="12">
        <v>178</v>
      </c>
      <c r="E6" s="12">
        <v>125</v>
      </c>
      <c r="G6" t="s">
        <v>13</v>
      </c>
      <c r="H6">
        <f>SUM(B5:B9)</f>
        <v>659</v>
      </c>
      <c r="I6">
        <f>SUM(C5:C9)</f>
        <v>677</v>
      </c>
      <c r="J6">
        <f>SUM(D5:D9)</f>
        <v>879</v>
      </c>
      <c r="K6">
        <f>SUM(E5:E9)</f>
        <v>706</v>
      </c>
      <c r="L6">
        <f>SUM(B5:E9)</f>
        <v>2921</v>
      </c>
    </row>
    <row r="7" spans="1:15" x14ac:dyDescent="0.35">
      <c r="A7" s="11"/>
      <c r="B7" s="12">
        <v>112</v>
      </c>
      <c r="C7" s="12">
        <v>174</v>
      </c>
      <c r="D7" s="12">
        <v>187</v>
      </c>
      <c r="E7" s="12">
        <v>117</v>
      </c>
      <c r="G7" t="s">
        <v>14</v>
      </c>
      <c r="H7">
        <f>AVERAGE(B5:B9)</f>
        <v>131.80000000000001</v>
      </c>
      <c r="I7">
        <f>AVERAGE(C5:C9)</f>
        <v>135.4</v>
      </c>
      <c r="J7">
        <f>AVERAGE(D5:D9)</f>
        <v>175.8</v>
      </c>
      <c r="K7">
        <f>AVERAGE(E5:E9)</f>
        <v>141.19999999999999</v>
      </c>
      <c r="L7">
        <f>AVERAGE(B5:E9)</f>
        <v>146.05000000000001</v>
      </c>
    </row>
    <row r="8" spans="1:15" x14ac:dyDescent="0.35">
      <c r="A8" s="11"/>
      <c r="B8" s="12">
        <v>100</v>
      </c>
      <c r="C8" s="12">
        <v>116</v>
      </c>
      <c r="D8" s="12">
        <v>153</v>
      </c>
      <c r="E8" s="12">
        <v>155</v>
      </c>
      <c r="G8" t="s">
        <v>15</v>
      </c>
      <c r="H8">
        <f>VAR(B5:B9)</f>
        <v>844.20000000000073</v>
      </c>
      <c r="I8">
        <f>VAR(C5:C9)</f>
        <v>707.79999999999927</v>
      </c>
      <c r="J8">
        <f>VAR(D5:D9)</f>
        <v>278.7</v>
      </c>
      <c r="K8">
        <f>VAR(E5:E9)</f>
        <v>354.20000000000073</v>
      </c>
      <c r="L8">
        <f>VAR(B5:E9)</f>
        <v>782.3657894736848</v>
      </c>
    </row>
    <row r="9" spans="1:15" x14ac:dyDescent="0.35">
      <c r="A9" s="11"/>
      <c r="B9" s="13">
        <v>168</v>
      </c>
      <c r="C9" s="13">
        <v>109</v>
      </c>
      <c r="D9" s="13">
        <v>195</v>
      </c>
      <c r="E9" s="13">
        <v>158</v>
      </c>
    </row>
    <row r="10" spans="1:15" ht="15" thickBot="1" x14ac:dyDescent="0.4">
      <c r="A10" s="9" t="s">
        <v>16</v>
      </c>
      <c r="B10" s="10">
        <v>135</v>
      </c>
      <c r="C10" s="10">
        <v>175</v>
      </c>
      <c r="D10" s="10">
        <v>140</v>
      </c>
      <c r="E10" s="10">
        <v>167</v>
      </c>
      <c r="G10" s="8" t="s">
        <v>16</v>
      </c>
      <c r="H10" s="8"/>
      <c r="I10" s="8"/>
      <c r="J10" s="8"/>
      <c r="K10" s="8"/>
      <c r="L10" s="8"/>
    </row>
    <row r="11" spans="1:15" x14ac:dyDescent="0.35">
      <c r="A11" s="11"/>
      <c r="B11" s="12">
        <v>130</v>
      </c>
      <c r="C11" s="12">
        <v>132</v>
      </c>
      <c r="D11" s="12">
        <v>145</v>
      </c>
      <c r="E11" s="12">
        <v>183</v>
      </c>
      <c r="G11" t="s">
        <v>12</v>
      </c>
      <c r="H11" s="14">
        <f>COUNT(B10:B14)</f>
        <v>5</v>
      </c>
      <c r="I11" s="14">
        <f>COUNT(C10:C14)</f>
        <v>5</v>
      </c>
      <c r="J11" s="14">
        <f>COUNT(D10:D14)</f>
        <v>5</v>
      </c>
      <c r="K11" s="14">
        <f>COUNT(E10:E14)</f>
        <v>5</v>
      </c>
      <c r="L11">
        <f>SUM(H11:K11)</f>
        <v>20</v>
      </c>
    </row>
    <row r="12" spans="1:15" x14ac:dyDescent="0.35">
      <c r="A12" s="11"/>
      <c r="B12" s="12">
        <v>176</v>
      </c>
      <c r="C12" s="12">
        <v>120</v>
      </c>
      <c r="D12" s="12">
        <v>159</v>
      </c>
      <c r="E12" s="12">
        <v>142</v>
      </c>
      <c r="G12" t="s">
        <v>13</v>
      </c>
      <c r="H12">
        <f>SUM(B10:B14)</f>
        <v>716</v>
      </c>
      <c r="I12">
        <f>SUM(C10:C14)</f>
        <v>798</v>
      </c>
      <c r="J12">
        <f>SUM(D10:D14)</f>
        <v>701</v>
      </c>
      <c r="K12">
        <f>SUM(E10:E14)</f>
        <v>827</v>
      </c>
      <c r="L12">
        <f>SUM(B10:E14)</f>
        <v>3042</v>
      </c>
    </row>
    <row r="13" spans="1:15" x14ac:dyDescent="0.35">
      <c r="A13" s="11"/>
      <c r="B13" s="12">
        <v>120</v>
      </c>
      <c r="C13" s="12">
        <v>187</v>
      </c>
      <c r="D13" s="12">
        <v>131</v>
      </c>
      <c r="E13" s="12">
        <v>167</v>
      </c>
      <c r="G13" t="s">
        <v>14</v>
      </c>
      <c r="H13">
        <f>AVERAGE(B10:B14)</f>
        <v>143.19999999999999</v>
      </c>
      <c r="I13">
        <f>AVERAGE(C10:C14)</f>
        <v>159.6</v>
      </c>
      <c r="J13">
        <f>AVERAGE(D10:D14)</f>
        <v>140.19999999999999</v>
      </c>
      <c r="K13">
        <f>AVERAGE(E10:E14)</f>
        <v>165.4</v>
      </c>
      <c r="L13">
        <f>AVERAGE(B10:E14)</f>
        <v>152.1</v>
      </c>
    </row>
    <row r="14" spans="1:15" x14ac:dyDescent="0.35">
      <c r="A14" s="11"/>
      <c r="B14" s="13">
        <v>155</v>
      </c>
      <c r="C14" s="13">
        <v>184</v>
      </c>
      <c r="D14" s="13">
        <v>126</v>
      </c>
      <c r="E14" s="13">
        <v>168</v>
      </c>
      <c r="G14" t="s">
        <v>15</v>
      </c>
      <c r="H14">
        <f>VAR(B10:B14)</f>
        <v>498.70000000000073</v>
      </c>
      <c r="I14">
        <f>VAR(C10:C14)</f>
        <v>978.29999999999927</v>
      </c>
      <c r="J14">
        <f>VAR(D10:D14)</f>
        <v>165.7</v>
      </c>
      <c r="K14">
        <f>VAR(E10:E14)</f>
        <v>217.3</v>
      </c>
      <c r="L14">
        <f>VAR(B10:E14)</f>
        <v>511.04210526315728</v>
      </c>
    </row>
    <row r="15" spans="1:15" x14ac:dyDescent="0.35">
      <c r="A15" s="9" t="s">
        <v>17</v>
      </c>
      <c r="B15" s="10">
        <v>156</v>
      </c>
      <c r="C15" s="10">
        <v>186</v>
      </c>
      <c r="D15" s="10">
        <v>185</v>
      </c>
      <c r="E15" s="10">
        <v>175</v>
      </c>
    </row>
    <row r="16" spans="1:15" ht="15" thickBot="1" x14ac:dyDescent="0.4">
      <c r="A16" s="11"/>
      <c r="B16" s="12">
        <v>180</v>
      </c>
      <c r="C16" s="12">
        <v>138</v>
      </c>
      <c r="D16" s="12">
        <v>206</v>
      </c>
      <c r="E16" s="12">
        <v>173</v>
      </c>
      <c r="G16" s="8" t="s">
        <v>17</v>
      </c>
      <c r="H16" s="8"/>
      <c r="I16" s="8"/>
      <c r="J16" s="8"/>
      <c r="K16" s="8"/>
      <c r="L16" s="8"/>
    </row>
    <row r="17" spans="1:21" x14ac:dyDescent="0.35">
      <c r="A17" s="11"/>
      <c r="B17" s="12">
        <v>147</v>
      </c>
      <c r="C17" s="12">
        <v>178</v>
      </c>
      <c r="D17" s="12">
        <v>188</v>
      </c>
      <c r="E17" s="12">
        <v>154</v>
      </c>
      <c r="G17" t="s">
        <v>12</v>
      </c>
      <c r="H17">
        <f>COUNT(B15:B19)</f>
        <v>5</v>
      </c>
      <c r="I17">
        <f>COUNT(C15:C19)</f>
        <v>5</v>
      </c>
      <c r="J17">
        <f>COUNT(D15:D19)</f>
        <v>5</v>
      </c>
      <c r="K17">
        <f>COUNT(E15:E19)</f>
        <v>5</v>
      </c>
      <c r="L17">
        <f>SUM(H17:K17)</f>
        <v>20</v>
      </c>
    </row>
    <row r="18" spans="1:21" x14ac:dyDescent="0.35">
      <c r="A18" s="11"/>
      <c r="B18" s="12">
        <v>146</v>
      </c>
      <c r="C18" s="12">
        <v>176</v>
      </c>
      <c r="D18" s="12">
        <v>165</v>
      </c>
      <c r="E18" s="12">
        <v>191</v>
      </c>
      <c r="G18" t="s">
        <v>13</v>
      </c>
      <c r="H18">
        <f>SUM(B15:B19)</f>
        <v>822</v>
      </c>
      <c r="I18">
        <f>SUM(C15:C19)</f>
        <v>868</v>
      </c>
      <c r="J18">
        <f>SUM(D15:D19)</f>
        <v>932</v>
      </c>
      <c r="K18">
        <f>SUM(E15:E19)</f>
        <v>862</v>
      </c>
      <c r="L18">
        <f>SUM(B15:E19)</f>
        <v>3484</v>
      </c>
    </row>
    <row r="19" spans="1:21" x14ac:dyDescent="0.35">
      <c r="A19" s="15"/>
      <c r="B19" s="13">
        <v>193</v>
      </c>
      <c r="C19" s="13">
        <v>190</v>
      </c>
      <c r="D19" s="13">
        <v>188</v>
      </c>
      <c r="E19" s="13">
        <v>169</v>
      </c>
      <c r="G19" t="s">
        <v>14</v>
      </c>
      <c r="H19">
        <f>AVERAGE(B15:B19)</f>
        <v>164.4</v>
      </c>
      <c r="I19">
        <f>AVERAGE(C15:C19)</f>
        <v>173.6</v>
      </c>
      <c r="J19">
        <f>AVERAGE(D15:D19)</f>
        <v>186.4</v>
      </c>
      <c r="K19">
        <f>AVERAGE(E15:E19)</f>
        <v>172.4</v>
      </c>
      <c r="L19">
        <f>AVERAGE(B15:E19)</f>
        <v>174.2</v>
      </c>
    </row>
    <row r="20" spans="1:21" x14ac:dyDescent="0.35">
      <c r="G20" t="s">
        <v>15</v>
      </c>
      <c r="H20">
        <f>VAR(B15:B19)</f>
        <v>443.30000000000291</v>
      </c>
      <c r="I20">
        <f>VAR(C15:C19)</f>
        <v>428.80000000000291</v>
      </c>
      <c r="J20">
        <f>VAR(D15:D19)</f>
        <v>212.3</v>
      </c>
      <c r="K20">
        <f>VAR(E15:E19)</f>
        <v>175.8</v>
      </c>
      <c r="L20">
        <f>VAR(B15:E19)</f>
        <v>330.69473684210283</v>
      </c>
    </row>
    <row r="22" spans="1:21" ht="15" thickBot="1" x14ac:dyDescent="0.4">
      <c r="G22" s="8" t="s">
        <v>9</v>
      </c>
      <c r="H22" s="8"/>
      <c r="I22" s="8"/>
      <c r="J22" s="8"/>
      <c r="K22" s="8"/>
      <c r="L22" s="8"/>
    </row>
    <row r="23" spans="1:21" x14ac:dyDescent="0.35">
      <c r="G23" t="s">
        <v>12</v>
      </c>
      <c r="H23">
        <f>COUNT(B5:B19)</f>
        <v>15</v>
      </c>
      <c r="I23">
        <f>COUNT(C5:C19)</f>
        <v>15</v>
      </c>
      <c r="J23">
        <f>COUNT(D5:D19)</f>
        <v>15</v>
      </c>
      <c r="K23">
        <f>COUNT(E5:E19)</f>
        <v>15</v>
      </c>
      <c r="L23">
        <f>SUM(H23:K23)</f>
        <v>60</v>
      </c>
    </row>
    <row r="24" spans="1:21" x14ac:dyDescent="0.35">
      <c r="G24" t="s">
        <v>13</v>
      </c>
      <c r="H24">
        <f>SUM(B5:B19)</f>
        <v>2197</v>
      </c>
      <c r="I24">
        <f>SUM(C5:C19)</f>
        <v>2343</v>
      </c>
      <c r="J24">
        <f>SUM(D5:D19)</f>
        <v>2512</v>
      </c>
      <c r="K24">
        <f>SUM(E5:E19)</f>
        <v>2395</v>
      </c>
      <c r="L24">
        <f>SUM(H24:K24)</f>
        <v>9447</v>
      </c>
    </row>
    <row r="25" spans="1:21" x14ac:dyDescent="0.35">
      <c r="G25" t="s">
        <v>14</v>
      </c>
      <c r="H25">
        <f>AVERAGE(B5:B19)</f>
        <v>146.46666666666667</v>
      </c>
      <c r="I25">
        <f>AVERAGE(C5:C19)</f>
        <v>156.19999999999999</v>
      </c>
      <c r="J25">
        <f>AVERAGE(D5:D19)</f>
        <v>167.46666666666667</v>
      </c>
      <c r="K25">
        <f>AVERAGE(E5:E19)</f>
        <v>159.66666666666666</v>
      </c>
      <c r="L25">
        <f>AVERAGE(B5:E19)</f>
        <v>157.44999999999999</v>
      </c>
    </row>
    <row r="26" spans="1:21" x14ac:dyDescent="0.35">
      <c r="G26" t="s">
        <v>15</v>
      </c>
      <c r="H26">
        <f>VAR(B5:B19)</f>
        <v>705.83809523809555</v>
      </c>
      <c r="I26">
        <f>VAR(C5:C19)</f>
        <v>871.02857142857306</v>
      </c>
      <c r="J26">
        <f>VAR(D5:D19)</f>
        <v>605.98095238095266</v>
      </c>
      <c r="K26">
        <f>VAR(E5:E19)</f>
        <v>404.95238095237954</v>
      </c>
      <c r="L26">
        <f>VAR(B5:E19)</f>
        <v>671.87881355932359</v>
      </c>
      <c r="P26" t="s">
        <v>18</v>
      </c>
    </row>
    <row r="28" spans="1:21" ht="15" thickBot="1" x14ac:dyDescent="0.4">
      <c r="G28" t="s">
        <v>19</v>
      </c>
      <c r="P28" t="s">
        <v>19</v>
      </c>
    </row>
    <row r="29" spans="1:21" x14ac:dyDescent="0.35">
      <c r="G29" s="16" t="s">
        <v>20</v>
      </c>
      <c r="H29" s="16" t="s">
        <v>21</v>
      </c>
      <c r="I29" s="16" t="s">
        <v>22</v>
      </c>
      <c r="J29" s="16" t="s">
        <v>23</v>
      </c>
      <c r="K29" s="16" t="s">
        <v>24</v>
      </c>
      <c r="L29" s="16" t="s">
        <v>25</v>
      </c>
      <c r="M29" s="16" t="s">
        <v>26</v>
      </c>
      <c r="P29" s="16" t="s">
        <v>27</v>
      </c>
      <c r="Q29" s="16" t="s">
        <v>21</v>
      </c>
      <c r="R29" s="16" t="s">
        <v>22</v>
      </c>
      <c r="S29" s="16" t="s">
        <v>23</v>
      </c>
      <c r="T29" s="16" t="s">
        <v>24</v>
      </c>
      <c r="U29" s="16" t="s">
        <v>25</v>
      </c>
    </row>
    <row r="30" spans="1:21" x14ac:dyDescent="0.35">
      <c r="G30" t="s">
        <v>28</v>
      </c>
      <c r="H30">
        <f>DEVSQ(H39:H41)/L5</f>
        <v>8782.9</v>
      </c>
      <c r="I30">
        <f>COUNTA(G39:G41)-1</f>
        <v>2</v>
      </c>
      <c r="J30">
        <f>H30/I30</f>
        <v>4391.45</v>
      </c>
      <c r="K30">
        <f>J30/J$33</f>
        <v>9.9333471565097717</v>
      </c>
      <c r="L30">
        <f>FDIST(K30,I30,I$33)</f>
        <v>2.4548728137133413E-4</v>
      </c>
      <c r="M30">
        <f>FINV(0.05,I30,I$33)</f>
        <v>3.1907273359284987</v>
      </c>
      <c r="P30" t="s">
        <v>10</v>
      </c>
      <c r="Q30" t="e">
        <f ca="1">SSRow(B5:E19,5)</f>
        <v>#NAME?</v>
      </c>
      <c r="R30" t="e">
        <f ca="1">dfRow(B5:E19,5)</f>
        <v>#NAME?</v>
      </c>
      <c r="S30" t="e">
        <f ca="1">MSRow(B5:E19,5)</f>
        <v>#NAME?</v>
      </c>
      <c r="T30" t="e">
        <f ca="1">ANOVARow(B5:E19,5)</f>
        <v>#NAME?</v>
      </c>
      <c r="U30" t="e">
        <f ca="1">ATESTRow(B5:E19,5)</f>
        <v>#NAME?</v>
      </c>
    </row>
    <row r="31" spans="1:21" x14ac:dyDescent="0.35">
      <c r="G31" t="s">
        <v>29</v>
      </c>
      <c r="H31">
        <f>DEVSQ(H44:H47)/H23</f>
        <v>3411.65</v>
      </c>
      <c r="I31">
        <f>COUNTA(G44:G47)-1</f>
        <v>3</v>
      </c>
      <c r="J31">
        <f>H31/I31</f>
        <v>1137.2166666666667</v>
      </c>
      <c r="K31">
        <f>J31/J$33</f>
        <v>2.5723549037718416</v>
      </c>
      <c r="L31">
        <f>FDIST(K31,I31,I$33)</f>
        <v>6.4943822161567036E-2</v>
      </c>
      <c r="M31">
        <f>FINV(0.05,I31,I$33)</f>
        <v>2.7980606354356103</v>
      </c>
      <c r="P31" t="s">
        <v>30</v>
      </c>
      <c r="Q31" t="e">
        <f ca="1">SSCol(B5:E19,5)</f>
        <v>#NAME?</v>
      </c>
      <c r="R31" t="e">
        <f ca="1">dfCol(B5:E19,5)</f>
        <v>#NAME?</v>
      </c>
      <c r="S31" t="e">
        <f ca="1">MSCol(B5:E19,5)</f>
        <v>#NAME?</v>
      </c>
      <c r="T31" t="e">
        <f ca="1">ANOVACol(B5:E19,5)</f>
        <v>#NAME?</v>
      </c>
      <c r="U31" t="e">
        <f ca="1">ATESTCol(B5:E19,5)</f>
        <v>#NAME?</v>
      </c>
    </row>
    <row r="32" spans="1:21" x14ac:dyDescent="0.35">
      <c r="G32" t="s">
        <v>2</v>
      </c>
      <c r="H32">
        <f>H35-H30-H31-H33</f>
        <v>6225.899999999976</v>
      </c>
      <c r="I32">
        <f>I30*I31</f>
        <v>6</v>
      </c>
      <c r="J32">
        <f>H32/I32</f>
        <v>1037.649999999996</v>
      </c>
      <c r="K32">
        <f>J32/J$33</f>
        <v>2.3471376599875495</v>
      </c>
      <c r="L32">
        <f>FDIST(K32,I32,I$33)</f>
        <v>4.5555492136473183E-2</v>
      </c>
      <c r="M32">
        <f>FINV(0.05,I32,I$33)</f>
        <v>2.29460131347063</v>
      </c>
      <c r="P32" t="s">
        <v>31</v>
      </c>
      <c r="Q32" t="e">
        <f ca="1">SSInt(B5:E19,5)</f>
        <v>#NAME?</v>
      </c>
      <c r="R32" t="e">
        <f ca="1">dfInt(B5:E19,5)</f>
        <v>#NAME?</v>
      </c>
      <c r="S32" t="e">
        <f ca="1">MSInt(B5:E19,5)</f>
        <v>#NAME?</v>
      </c>
      <c r="T32" t="e">
        <f ca="1">ANOVAInt(B5:E19,5)</f>
        <v>#NAME?</v>
      </c>
      <c r="U32" t="e">
        <f ca="1">ATESTInt(B5:E19,5)</f>
        <v>#NAME?</v>
      </c>
    </row>
    <row r="33" spans="5:21" x14ac:dyDescent="0.35">
      <c r="G33" t="s">
        <v>32</v>
      </c>
      <c r="H33">
        <f>SUM(K39:N41)</f>
        <v>21220.400000000005</v>
      </c>
      <c r="I33">
        <f>COUNT(B5:E19)-COUNTA(G39:G41)*COUNTA(G44:G47)</f>
        <v>48</v>
      </c>
      <c r="J33">
        <f>H33/I33</f>
        <v>442.09166666666675</v>
      </c>
      <c r="P33" t="s">
        <v>32</v>
      </c>
      <c r="Q33" t="e">
        <f ca="1">SSWF(B5:E19,5)</f>
        <v>#NAME?</v>
      </c>
      <c r="R33" t="e">
        <f ca="1">dfWF(B5:E19,5)</f>
        <v>#NAME?</v>
      </c>
      <c r="S33" t="e">
        <f ca="1">MSWF(B5:E19,5)</f>
        <v>#NAME?</v>
      </c>
    </row>
    <row r="34" spans="5:21" ht="15" thickBot="1" x14ac:dyDescent="0.4">
      <c r="P34" s="17" t="s">
        <v>9</v>
      </c>
      <c r="Q34" s="17" t="e">
        <f ca="1">SSTot(B5:E19,5)</f>
        <v>#NAME?</v>
      </c>
      <c r="R34" s="17" t="e">
        <f ca="1">dfTot(B5:E19,5)</f>
        <v>#NAME?</v>
      </c>
      <c r="S34" s="17" t="e">
        <f ca="1">MSTot(B5:E19,5)</f>
        <v>#NAME?</v>
      </c>
      <c r="T34" s="17"/>
      <c r="U34" s="17"/>
    </row>
    <row r="35" spans="5:21" ht="15" thickBot="1" x14ac:dyDescent="0.4">
      <c r="G35" s="17" t="s">
        <v>9</v>
      </c>
      <c r="H35" s="17">
        <f>DEVSQ(B5:E19)</f>
        <v>39640.849999999984</v>
      </c>
      <c r="I35" s="17">
        <f>COUNT(B5:E19)-1</f>
        <v>59</v>
      </c>
      <c r="J35" s="17"/>
      <c r="K35" s="17"/>
      <c r="L35" s="17"/>
      <c r="M35" s="17"/>
    </row>
    <row r="37" spans="5:21" ht="15" thickBot="1" x14ac:dyDescent="0.4">
      <c r="E37" s="18"/>
      <c r="P37" s="19" t="s">
        <v>33</v>
      </c>
    </row>
    <row r="38" spans="5:21" x14ac:dyDescent="0.35">
      <c r="G38" s="16" t="s">
        <v>34</v>
      </c>
      <c r="H38" s="16" t="s">
        <v>13</v>
      </c>
      <c r="J38" s="5" t="s">
        <v>35</v>
      </c>
      <c r="K38" s="20" t="s">
        <v>5</v>
      </c>
      <c r="L38" s="20" t="s">
        <v>6</v>
      </c>
      <c r="M38" s="20" t="s">
        <v>7</v>
      </c>
      <c r="N38" s="20" t="s">
        <v>8</v>
      </c>
    </row>
    <row r="39" spans="5:21" x14ac:dyDescent="0.35">
      <c r="G39" t="s">
        <v>11</v>
      </c>
      <c r="H39">
        <f>SUM(B5:E9)</f>
        <v>2921</v>
      </c>
      <c r="J39" t="s">
        <v>11</v>
      </c>
      <c r="K39" s="9">
        <f>DEVSQ(B5:B9)</f>
        <v>3376.7999999999997</v>
      </c>
      <c r="L39" s="21">
        <f>DEVSQ(C5:C9)</f>
        <v>2831.2</v>
      </c>
      <c r="M39" s="21">
        <f>DEVSQ(D5:D9)</f>
        <v>1114.8</v>
      </c>
      <c r="N39" s="22">
        <f>DEVSQ(E5:E9)</f>
        <v>1416.8000000000002</v>
      </c>
      <c r="P39" t="s">
        <v>36</v>
      </c>
      <c r="Q39" s="10">
        <f>DEVSQ(K44:N46)*H5</f>
        <v>18420.450000000004</v>
      </c>
    </row>
    <row r="40" spans="5:21" x14ac:dyDescent="0.35">
      <c r="G40" s="19" t="s">
        <v>16</v>
      </c>
      <c r="H40">
        <f>SUM(B10:E14)</f>
        <v>3042</v>
      </c>
      <c r="J40" t="s">
        <v>16</v>
      </c>
      <c r="K40" s="11">
        <f>DEVSQ(B10:B14)</f>
        <v>1994.8000000000002</v>
      </c>
      <c r="L40">
        <f>DEVSQ(C10:C14)</f>
        <v>3913.2</v>
      </c>
      <c r="M40">
        <f>DEVSQ(D10:D14)</f>
        <v>662.8</v>
      </c>
      <c r="N40" s="23">
        <f>DEVSQ(E10:E14)</f>
        <v>869.2</v>
      </c>
      <c r="P40" t="s">
        <v>37</v>
      </c>
      <c r="Q40" s="12">
        <f>H35</f>
        <v>39640.849999999984</v>
      </c>
    </row>
    <row r="41" spans="5:21" ht="15" thickBot="1" x14ac:dyDescent="0.4">
      <c r="G41" s="17" t="s">
        <v>17</v>
      </c>
      <c r="H41" s="17">
        <f>SUM(B15:E19)</f>
        <v>3484</v>
      </c>
      <c r="J41" t="s">
        <v>17</v>
      </c>
      <c r="K41" s="15">
        <f>DEVSQ(B15:B19)</f>
        <v>1773.1999999999998</v>
      </c>
      <c r="L41" s="24">
        <f>DEVSQ(C15:C19)</f>
        <v>1715.2000000000003</v>
      </c>
      <c r="M41" s="24">
        <f>DEVSQ(D15:D19)</f>
        <v>849.2</v>
      </c>
      <c r="N41" s="25">
        <f>DEVSQ(E15:E19)</f>
        <v>703.2</v>
      </c>
      <c r="P41" t="s">
        <v>35</v>
      </c>
      <c r="Q41" s="13">
        <f>Q40-Q39</f>
        <v>21220.39999999998</v>
      </c>
    </row>
    <row r="42" spans="5:21" ht="15" thickBot="1" x14ac:dyDescent="0.4"/>
    <row r="43" spans="5:21" x14ac:dyDescent="0.35">
      <c r="G43" s="16" t="s">
        <v>38</v>
      </c>
      <c r="H43" s="16" t="s">
        <v>13</v>
      </c>
      <c r="J43" s="5" t="s">
        <v>39</v>
      </c>
      <c r="K43" s="20" t="s">
        <v>5</v>
      </c>
      <c r="L43" s="20" t="s">
        <v>6</v>
      </c>
      <c r="M43" s="20" t="s">
        <v>7</v>
      </c>
      <c r="N43" s="20" t="s">
        <v>8</v>
      </c>
    </row>
    <row r="44" spans="5:21" x14ac:dyDescent="0.35">
      <c r="G44" t="s">
        <v>5</v>
      </c>
      <c r="H44">
        <f>SUM(B5:B19)</f>
        <v>2197</v>
      </c>
      <c r="J44" t="s">
        <v>11</v>
      </c>
      <c r="K44" s="9">
        <f>AVERAGE(B5:B9)</f>
        <v>131.80000000000001</v>
      </c>
      <c r="L44" s="21">
        <f>AVERAGE(C5:C9)</f>
        <v>135.4</v>
      </c>
      <c r="M44" s="21">
        <f>AVERAGE(D5:D9)</f>
        <v>175.8</v>
      </c>
      <c r="N44" s="22">
        <f>AVERAGE(E5:E9)</f>
        <v>141.19999999999999</v>
      </c>
    </row>
    <row r="45" spans="5:21" x14ac:dyDescent="0.35">
      <c r="G45" s="19" t="s">
        <v>6</v>
      </c>
      <c r="H45">
        <f>SUM(C5:C19)</f>
        <v>2343</v>
      </c>
      <c r="J45" t="s">
        <v>16</v>
      </c>
      <c r="K45" s="11">
        <f>AVERAGE(B10:B14)</f>
        <v>143.19999999999999</v>
      </c>
      <c r="L45">
        <f>AVERAGE(C10:C14)</f>
        <v>159.6</v>
      </c>
      <c r="M45">
        <f>AVERAGE(D10:D14)</f>
        <v>140.19999999999999</v>
      </c>
      <c r="N45" s="23">
        <f>AVERAGE(E10:E14)</f>
        <v>165.4</v>
      </c>
    </row>
    <row r="46" spans="5:21" x14ac:dyDescent="0.35">
      <c r="G46" t="s">
        <v>7</v>
      </c>
      <c r="H46">
        <f>SUM(D5:D19)</f>
        <v>2512</v>
      </c>
      <c r="J46" t="s">
        <v>17</v>
      </c>
      <c r="K46" s="15">
        <f>AVERAGE(B15:B19)</f>
        <v>164.4</v>
      </c>
      <c r="L46" s="24">
        <f>AVERAGE(C15:C19)</f>
        <v>173.6</v>
      </c>
      <c r="M46" s="24">
        <f>AVERAGE(D15:D19)</f>
        <v>186.4</v>
      </c>
      <c r="N46" s="25">
        <f>AVERAGE(E15:E19)</f>
        <v>172.4</v>
      </c>
    </row>
    <row r="47" spans="5:21" ht="15" thickBot="1" x14ac:dyDescent="0.4">
      <c r="G47" s="17" t="s">
        <v>8</v>
      </c>
      <c r="H47" s="17">
        <f>SUM(E5:E19)</f>
        <v>2395</v>
      </c>
      <c r="K47" s="18"/>
    </row>
  </sheetData>
  <mergeCells count="1">
    <mergeCell ref="B3:E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01A8F-14DD-473A-8FCB-B2264B7A6B0B}">
  <sheetPr codeName="Sheet254"/>
  <dimension ref="A1:Y23"/>
  <sheetViews>
    <sheetView workbookViewId="0"/>
  </sheetViews>
  <sheetFormatPr defaultRowHeight="14.5" x14ac:dyDescent="0.35"/>
  <cols>
    <col min="1" max="1" width="7.81640625" customWidth="1"/>
    <col min="2" max="5" width="6.36328125" customWidth="1"/>
    <col min="6" max="6" width="4.1796875" customWidth="1"/>
    <col min="8" max="11" width="7.08984375" customWidth="1"/>
    <col min="13" max="13" width="4.1796875" customWidth="1"/>
    <col min="16" max="16" width="4.90625" customWidth="1"/>
    <col min="20" max="20" width="8.7265625" customWidth="1"/>
  </cols>
  <sheetData>
    <row r="1" spans="1:25" x14ac:dyDescent="0.35">
      <c r="A1" s="1" t="s">
        <v>40</v>
      </c>
      <c r="G1" t="s">
        <v>41</v>
      </c>
      <c r="N1" t="s">
        <v>42</v>
      </c>
      <c r="V1" t="s">
        <v>43</v>
      </c>
    </row>
    <row r="3" spans="1:25" ht="15" thickBot="1" x14ac:dyDescent="0.4">
      <c r="B3" s="2" t="s">
        <v>3</v>
      </c>
      <c r="C3" s="3"/>
      <c r="D3" s="3"/>
      <c r="E3" s="4"/>
      <c r="G3" t="s">
        <v>44</v>
      </c>
      <c r="H3" t="str">
        <f>IF(COUNTIF(H5:K7,H5)=COUNT(H5:K7),"balanced","unbalanced")</f>
        <v>balanced</v>
      </c>
      <c r="N3" t="s">
        <v>19</v>
      </c>
      <c r="R3" s="20" t="s">
        <v>45</v>
      </c>
      <c r="S3" s="20">
        <v>0.05</v>
      </c>
      <c r="W3" s="26" t="str">
        <f>A5</f>
        <v>Blend X</v>
      </c>
      <c r="X3" s="26" t="str">
        <f>A10</f>
        <v>Blend Y</v>
      </c>
      <c r="Y3" s="26" t="str">
        <f>A15</f>
        <v>Blend Z</v>
      </c>
    </row>
    <row r="4" spans="1:25" ht="15" thickTop="1" x14ac:dyDescent="0.35">
      <c r="A4" s="6" t="s">
        <v>10</v>
      </c>
      <c r="B4" s="7" t="s">
        <v>5</v>
      </c>
      <c r="C4" s="7" t="s">
        <v>6</v>
      </c>
      <c r="D4" s="7" t="s">
        <v>7</v>
      </c>
      <c r="E4" s="7" t="s">
        <v>8</v>
      </c>
      <c r="H4" s="20" t="str">
        <f>B4</f>
        <v>Wheat</v>
      </c>
      <c r="I4" s="20" t="str">
        <f>C4</f>
        <v>Corn</v>
      </c>
      <c r="J4" s="20" t="str">
        <f>D4</f>
        <v>Soy</v>
      </c>
      <c r="K4" s="20" t="str">
        <f>E4</f>
        <v>Rice</v>
      </c>
      <c r="N4" s="27"/>
      <c r="O4" s="27" t="s">
        <v>21</v>
      </c>
      <c r="P4" s="27" t="s">
        <v>22</v>
      </c>
      <c r="Q4" s="27" t="s">
        <v>23</v>
      </c>
      <c r="R4" s="27" t="s">
        <v>24</v>
      </c>
      <c r="S4" s="27" t="s">
        <v>46</v>
      </c>
      <c r="T4" s="27" t="s">
        <v>47</v>
      </c>
      <c r="V4" s="28" t="str">
        <f>B4</f>
        <v>Wheat</v>
      </c>
      <c r="W4" s="28">
        <f>IF(B5="","",B5)</f>
        <v>123</v>
      </c>
      <c r="X4" s="28">
        <f>IF(B10="","",B10)</f>
        <v>135</v>
      </c>
      <c r="Y4" s="28">
        <f>IF(B15="","",B15)</f>
        <v>156</v>
      </c>
    </row>
    <row r="5" spans="1:25" x14ac:dyDescent="0.35">
      <c r="A5" s="9" t="s">
        <v>11</v>
      </c>
      <c r="B5" s="10">
        <v>123</v>
      </c>
      <c r="C5" s="10">
        <v>128</v>
      </c>
      <c r="D5" s="10">
        <v>166</v>
      </c>
      <c r="E5" s="10">
        <v>151</v>
      </c>
      <c r="G5" t="str">
        <f>A5</f>
        <v>Blend X</v>
      </c>
      <c r="H5" s="29">
        <f>COUNT(B5:B9)</f>
        <v>5</v>
      </c>
      <c r="I5" s="30">
        <f>COUNT(C5:C9)</f>
        <v>5</v>
      </c>
      <c r="J5" s="30">
        <f>COUNT(D5:D9)</f>
        <v>5</v>
      </c>
      <c r="K5" s="31">
        <f>COUNT(E5:E9)</f>
        <v>5</v>
      </c>
      <c r="L5">
        <f>COUNT(B5:E9)</f>
        <v>20</v>
      </c>
      <c r="N5" t="s">
        <v>48</v>
      </c>
      <c r="O5">
        <f>DEVSQ(L12:L14)*L5</f>
        <v>8782.8999999999887</v>
      </c>
      <c r="P5">
        <f>COUNT(L12:L14)-1</f>
        <v>2</v>
      </c>
      <c r="Q5">
        <f>O5/P5</f>
        <v>4391.4499999999944</v>
      </c>
      <c r="R5">
        <f>Q5/Q8</f>
        <v>9.9333471565097486</v>
      </c>
      <c r="S5">
        <f>FDIST(R5,P5,P8)</f>
        <v>2.4548728137133846E-4</v>
      </c>
      <c r="T5">
        <f>O5/(O5+O8)</f>
        <v>0.29273113290871283</v>
      </c>
      <c r="V5" s="32"/>
      <c r="W5" s="32">
        <f>IF(B6="","",B6)</f>
        <v>156</v>
      </c>
      <c r="X5" s="32">
        <f>IF(B11="","",B11)</f>
        <v>130</v>
      </c>
      <c r="Y5" s="32">
        <f>IF(B16="","",B16)</f>
        <v>180</v>
      </c>
    </row>
    <row r="6" spans="1:25" x14ac:dyDescent="0.35">
      <c r="A6" s="11"/>
      <c r="B6" s="12">
        <v>156</v>
      </c>
      <c r="C6" s="12">
        <v>150</v>
      </c>
      <c r="D6" s="12">
        <v>178</v>
      </c>
      <c r="E6" s="12">
        <v>125</v>
      </c>
      <c r="G6" t="str">
        <f>A10</f>
        <v>Blend Y</v>
      </c>
      <c r="H6" s="33">
        <f>COUNT(B10:B14)</f>
        <v>5</v>
      </c>
      <c r="I6">
        <f>COUNT(C10:C14)</f>
        <v>5</v>
      </c>
      <c r="J6">
        <f>COUNT(D10:D14)</f>
        <v>5</v>
      </c>
      <c r="K6" s="34">
        <f>COUNT(E10:E14)</f>
        <v>5</v>
      </c>
      <c r="L6">
        <f>COUNT(B10:E14)</f>
        <v>20</v>
      </c>
      <c r="N6" t="s">
        <v>49</v>
      </c>
      <c r="O6">
        <f>DEVSQ(H15:K15)*H8</f>
        <v>3411.65</v>
      </c>
      <c r="P6">
        <f>COUNT(H15:K15)-1</f>
        <v>3</v>
      </c>
      <c r="Q6">
        <f>O6/P6</f>
        <v>1137.2166666666667</v>
      </c>
      <c r="R6">
        <f>Q6/Q8</f>
        <v>2.572354903771839</v>
      </c>
      <c r="S6">
        <f>FDIST(R6,P6,P8)</f>
        <v>6.4943822161567188E-2</v>
      </c>
      <c r="T6">
        <f>O6/(O6+O8)</f>
        <v>0.13850450936889119</v>
      </c>
      <c r="V6" s="32"/>
      <c r="W6" s="32">
        <f>IF(B7="","",B7)</f>
        <v>112</v>
      </c>
      <c r="X6" s="32">
        <f>IF(B12="","",B12)</f>
        <v>176</v>
      </c>
      <c r="Y6" s="32">
        <f>IF(B17="","",B17)</f>
        <v>147</v>
      </c>
    </row>
    <row r="7" spans="1:25" x14ac:dyDescent="0.35">
      <c r="A7" s="35"/>
      <c r="B7" s="36">
        <v>112</v>
      </c>
      <c r="C7" s="36">
        <v>174</v>
      </c>
      <c r="D7" s="36">
        <v>187</v>
      </c>
      <c r="E7" s="36">
        <v>117</v>
      </c>
      <c r="G7" t="str">
        <f>A15</f>
        <v>Blend Z</v>
      </c>
      <c r="H7" s="37">
        <f>COUNT(B15:B19)</f>
        <v>5</v>
      </c>
      <c r="I7" s="38">
        <f>COUNT(C15:C19)</f>
        <v>5</v>
      </c>
      <c r="J7" s="38">
        <f>COUNT(D15:D19)</f>
        <v>5</v>
      </c>
      <c r="K7" s="39">
        <f>COUNT(E15:E19)</f>
        <v>5</v>
      </c>
      <c r="L7">
        <f>COUNT(B15:E19)</f>
        <v>20</v>
      </c>
      <c r="N7" t="s">
        <v>31</v>
      </c>
      <c r="O7">
        <f>O9-O5-O6-O8</f>
        <v>6225.9000000000779</v>
      </c>
      <c r="P7">
        <f>P6*P5</f>
        <v>6</v>
      </c>
      <c r="Q7">
        <f>O7/P7</f>
        <v>1037.6500000000131</v>
      </c>
      <c r="R7">
        <f>Q7/Q8</f>
        <v>2.3471376599875859</v>
      </c>
      <c r="S7">
        <f>FDIST(R7,P7,P8)</f>
        <v>4.5555492136470324E-2</v>
      </c>
      <c r="T7">
        <f>O7/(O7+O8)</f>
        <v>0.22683931896102769</v>
      </c>
      <c r="V7" s="40"/>
      <c r="W7" s="40">
        <f>IF(B8="","",B8)</f>
        <v>100</v>
      </c>
      <c r="X7" s="40">
        <f>IF(B13="","",B13)</f>
        <v>120</v>
      </c>
      <c r="Y7" s="40">
        <f>IF(B18="","",B18)</f>
        <v>146</v>
      </c>
    </row>
    <row r="8" spans="1:25" x14ac:dyDescent="0.35">
      <c r="A8" s="41"/>
      <c r="B8" s="42">
        <v>100</v>
      </c>
      <c r="C8" s="42">
        <v>116</v>
      </c>
      <c r="D8" s="42">
        <v>153</v>
      </c>
      <c r="E8" s="42">
        <v>155</v>
      </c>
      <c r="H8">
        <f>COUNT(B5:B19)</f>
        <v>15</v>
      </c>
      <c r="I8">
        <f>COUNT(C5:C19)</f>
        <v>15</v>
      </c>
      <c r="J8">
        <f>COUNT(D5:D19)</f>
        <v>15</v>
      </c>
      <c r="K8">
        <f>COUNT(E5:E19)</f>
        <v>15</v>
      </c>
      <c r="L8">
        <f>COUNT(B5:E19)</f>
        <v>60</v>
      </c>
      <c r="N8" t="s">
        <v>32</v>
      </c>
      <c r="O8">
        <f>SUM(H19:K21)*(H5-1)</f>
        <v>21220.400000000027</v>
      </c>
      <c r="P8">
        <f>P9-P5-P6-P7</f>
        <v>48</v>
      </c>
      <c r="Q8">
        <f>O8/P8</f>
        <v>442.09166666666721</v>
      </c>
      <c r="V8" s="43"/>
      <c r="W8" s="43">
        <f>IF(B9="","",B9)</f>
        <v>168</v>
      </c>
      <c r="X8" s="43">
        <f>IF(B14="","",B14)</f>
        <v>155</v>
      </c>
      <c r="Y8" s="43">
        <f>IF(B19="","",B19)</f>
        <v>193</v>
      </c>
    </row>
    <row r="9" spans="1:25" x14ac:dyDescent="0.35">
      <c r="A9" s="41"/>
      <c r="B9" s="13">
        <v>168</v>
      </c>
      <c r="C9" s="13">
        <v>109</v>
      </c>
      <c r="D9" s="13">
        <v>195</v>
      </c>
      <c r="E9" s="13">
        <v>158</v>
      </c>
      <c r="N9" s="24" t="s">
        <v>9</v>
      </c>
      <c r="O9" s="24">
        <f>Q9*P9</f>
        <v>39640.850000000093</v>
      </c>
      <c r="P9" s="24">
        <f>L8-1</f>
        <v>59</v>
      </c>
      <c r="Q9" s="24">
        <f>L22</f>
        <v>671.87881355932359</v>
      </c>
      <c r="R9" s="24"/>
      <c r="S9" s="24"/>
      <c r="T9" s="24"/>
      <c r="V9" s="44" t="str">
        <f>C4</f>
        <v>Corn</v>
      </c>
      <c r="W9" s="44">
        <f>IF(C5="","",C5)</f>
        <v>128</v>
      </c>
      <c r="X9" s="44">
        <f>IF(C10="","",C10)</f>
        <v>175</v>
      </c>
      <c r="Y9" s="44">
        <f>IF(C15="","",C15)</f>
        <v>186</v>
      </c>
    </row>
    <row r="10" spans="1:25" x14ac:dyDescent="0.35">
      <c r="A10" s="9" t="s">
        <v>16</v>
      </c>
      <c r="B10" s="10">
        <v>135</v>
      </c>
      <c r="C10" s="10">
        <v>175</v>
      </c>
      <c r="D10" s="10">
        <v>140</v>
      </c>
      <c r="E10" s="10">
        <v>167</v>
      </c>
      <c r="G10" t="s">
        <v>50</v>
      </c>
      <c r="V10" s="45"/>
      <c r="W10" s="45">
        <f>IF(C6="","",C6)</f>
        <v>150</v>
      </c>
      <c r="X10" s="45">
        <f>IF(C11="","",C11)</f>
        <v>132</v>
      </c>
      <c r="Y10" s="45">
        <f>IF(C16="","",C16)</f>
        <v>138</v>
      </c>
    </row>
    <row r="11" spans="1:25" x14ac:dyDescent="0.35">
      <c r="A11" s="46"/>
      <c r="B11" s="47">
        <v>130</v>
      </c>
      <c r="C11" s="47">
        <v>132</v>
      </c>
      <c r="D11" s="47">
        <v>145</v>
      </c>
      <c r="E11" s="47">
        <v>183</v>
      </c>
      <c r="H11" s="20" t="str">
        <f>B4</f>
        <v>Wheat</v>
      </c>
      <c r="I11" s="20" t="str">
        <f>C4</f>
        <v>Corn</v>
      </c>
      <c r="J11" s="20" t="str">
        <f>D4</f>
        <v>Soy</v>
      </c>
      <c r="K11" s="20" t="str">
        <f>E4</f>
        <v>Rice</v>
      </c>
      <c r="V11" s="48"/>
      <c r="W11" s="48">
        <f>IF(C7="","",C7)</f>
        <v>174</v>
      </c>
      <c r="X11" s="48">
        <f>IF(C12="","",C12)</f>
        <v>120</v>
      </c>
      <c r="Y11" s="48">
        <f>IF(C17="","",C17)</f>
        <v>178</v>
      </c>
    </row>
    <row r="12" spans="1:25" x14ac:dyDescent="0.35">
      <c r="A12" s="49"/>
      <c r="B12" s="50">
        <v>176</v>
      </c>
      <c r="C12" s="50">
        <v>120</v>
      </c>
      <c r="D12" s="50">
        <v>159</v>
      </c>
      <c r="E12" s="50">
        <v>142</v>
      </c>
      <c r="G12" t="str">
        <f>A5</f>
        <v>Blend X</v>
      </c>
      <c r="H12" s="29">
        <f>AVERAGE(B5:B9)</f>
        <v>131.80000000000001</v>
      </c>
      <c r="I12" s="30">
        <f>AVERAGE(C5:C9)</f>
        <v>135.4</v>
      </c>
      <c r="J12" s="30">
        <f>AVERAGE(D5:D9)</f>
        <v>175.8</v>
      </c>
      <c r="K12" s="31">
        <f>AVERAGE(E5:E9)</f>
        <v>141.19999999999999</v>
      </c>
      <c r="L12">
        <f>AVERAGE(B5:E9)</f>
        <v>146.05000000000001</v>
      </c>
      <c r="V12" s="51"/>
      <c r="W12" s="51">
        <f>IF(C8="","",C8)</f>
        <v>116</v>
      </c>
      <c r="X12" s="51">
        <f>IF(C13="","",C13)</f>
        <v>187</v>
      </c>
      <c r="Y12" s="51">
        <f>IF(C18="","",C18)</f>
        <v>176</v>
      </c>
    </row>
    <row r="13" spans="1:25" x14ac:dyDescent="0.35">
      <c r="A13" s="52"/>
      <c r="B13" s="53">
        <v>120</v>
      </c>
      <c r="C13" s="53">
        <v>187</v>
      </c>
      <c r="D13" s="53">
        <v>131</v>
      </c>
      <c r="E13" s="53">
        <v>167</v>
      </c>
      <c r="G13" t="str">
        <f>A10</f>
        <v>Blend Y</v>
      </c>
      <c r="H13" s="54">
        <f>AVERAGE(B10:B14)</f>
        <v>143.19999999999999</v>
      </c>
      <c r="I13">
        <f>AVERAGE(C10:C14)</f>
        <v>159.6</v>
      </c>
      <c r="J13">
        <f>AVERAGE(D10:D14)</f>
        <v>140.19999999999999</v>
      </c>
      <c r="K13" s="34">
        <f>AVERAGE(E10:E14)</f>
        <v>165.4</v>
      </c>
      <c r="L13">
        <f>AVERAGE(B10:E14)</f>
        <v>152.1</v>
      </c>
      <c r="V13" s="43"/>
      <c r="W13" s="43">
        <f>IF(C9="","",C9)</f>
        <v>109</v>
      </c>
      <c r="X13" s="43">
        <f>IF(C14="","",C14)</f>
        <v>184</v>
      </c>
      <c r="Y13" s="43">
        <f>IF(C19="","",C19)</f>
        <v>190</v>
      </c>
    </row>
    <row r="14" spans="1:25" x14ac:dyDescent="0.35">
      <c r="A14" s="55"/>
      <c r="B14" s="13">
        <v>155</v>
      </c>
      <c r="C14" s="13">
        <v>184</v>
      </c>
      <c r="D14" s="13">
        <v>126</v>
      </c>
      <c r="E14" s="13">
        <v>168</v>
      </c>
      <c r="G14" t="str">
        <f>A15</f>
        <v>Blend Z</v>
      </c>
      <c r="H14" s="37">
        <f>AVERAGE(B15:B19)</f>
        <v>164.4</v>
      </c>
      <c r="I14" s="38">
        <f>AVERAGE(C15:C19)</f>
        <v>173.6</v>
      </c>
      <c r="J14" s="38">
        <f>AVERAGE(D15:D19)</f>
        <v>186.4</v>
      </c>
      <c r="K14" s="39">
        <f>AVERAGE(E15:E19)</f>
        <v>172.4</v>
      </c>
      <c r="L14">
        <f>AVERAGE(B15:E19)</f>
        <v>174.2</v>
      </c>
      <c r="V14" s="44" t="str">
        <f>D4</f>
        <v>Soy</v>
      </c>
      <c r="W14" s="44">
        <f>IF(D5="","",D5)</f>
        <v>166</v>
      </c>
      <c r="X14" s="44">
        <f>IF(D10="","",D10)</f>
        <v>140</v>
      </c>
      <c r="Y14" s="44">
        <f>IF(D15="","",D15)</f>
        <v>185</v>
      </c>
    </row>
    <row r="15" spans="1:25" x14ac:dyDescent="0.35">
      <c r="A15" s="9" t="s">
        <v>17</v>
      </c>
      <c r="B15" s="10">
        <v>156</v>
      </c>
      <c r="C15" s="10">
        <v>186</v>
      </c>
      <c r="D15" s="10">
        <v>185</v>
      </c>
      <c r="E15" s="10">
        <v>175</v>
      </c>
      <c r="H15">
        <f>AVERAGE(B5:B19)</f>
        <v>146.46666666666667</v>
      </c>
      <c r="I15">
        <f>AVERAGE(C5:C19)</f>
        <v>156.19999999999999</v>
      </c>
      <c r="J15">
        <f>AVERAGE(D5:D19)</f>
        <v>167.46666666666667</v>
      </c>
      <c r="K15">
        <f>AVERAGE(E5:E19)</f>
        <v>159.66666666666666</v>
      </c>
      <c r="L15">
        <f>AVERAGE(B5:E19)</f>
        <v>157.44999999999999</v>
      </c>
      <c r="V15" s="56"/>
      <c r="W15" s="56">
        <f>IF(D6="","",D6)</f>
        <v>178</v>
      </c>
      <c r="X15" s="56">
        <f>IF(D11="","",D11)</f>
        <v>145</v>
      </c>
      <c r="Y15" s="56">
        <f>IF(D16="","",D16)</f>
        <v>206</v>
      </c>
    </row>
    <row r="16" spans="1:25" x14ac:dyDescent="0.35">
      <c r="A16" s="55"/>
      <c r="B16" s="57">
        <v>180</v>
      </c>
      <c r="C16" s="57">
        <v>138</v>
      </c>
      <c r="D16" s="57">
        <v>206</v>
      </c>
      <c r="E16" s="57">
        <v>173</v>
      </c>
      <c r="V16" s="58"/>
      <c r="W16" s="58">
        <f>IF(D7="","",D7)</f>
        <v>187</v>
      </c>
      <c r="X16" s="58">
        <f>IF(D12="","",D12)</f>
        <v>159</v>
      </c>
      <c r="Y16" s="58">
        <f>IF(D17="","",D17)</f>
        <v>188</v>
      </c>
    </row>
    <row r="17" spans="1:25" x14ac:dyDescent="0.35">
      <c r="A17" s="59"/>
      <c r="B17" s="60">
        <v>147</v>
      </c>
      <c r="C17" s="60">
        <v>178</v>
      </c>
      <c r="D17" s="60">
        <v>188</v>
      </c>
      <c r="E17" s="60">
        <v>154</v>
      </c>
      <c r="G17" t="s">
        <v>51</v>
      </c>
      <c r="V17" s="61"/>
      <c r="W17" s="61">
        <f>IF(D8="","",D8)</f>
        <v>153</v>
      </c>
      <c r="X17" s="61">
        <f>IF(D13="","",D13)</f>
        <v>131</v>
      </c>
      <c r="Y17" s="61">
        <f>IF(D18="","",D18)</f>
        <v>165</v>
      </c>
    </row>
    <row r="18" spans="1:25" x14ac:dyDescent="0.35">
      <c r="A18" s="62"/>
      <c r="B18" s="63">
        <v>146</v>
      </c>
      <c r="C18" s="63">
        <v>176</v>
      </c>
      <c r="D18" s="63">
        <v>165</v>
      </c>
      <c r="E18" s="63">
        <v>191</v>
      </c>
      <c r="H18" s="20" t="str">
        <f>B4</f>
        <v>Wheat</v>
      </c>
      <c r="I18" s="20" t="str">
        <f>C4</f>
        <v>Corn</v>
      </c>
      <c r="J18" s="20" t="str">
        <f>D4</f>
        <v>Soy</v>
      </c>
      <c r="K18" s="20" t="str">
        <f>E4</f>
        <v>Rice</v>
      </c>
      <c r="V18" s="43"/>
      <c r="W18" s="43">
        <f>IF(D9="","",D9)</f>
        <v>195</v>
      </c>
      <c r="X18" s="43">
        <f>IF(D14="","",D14)</f>
        <v>126</v>
      </c>
      <c r="Y18" s="43">
        <f>IF(D19="","",D19)</f>
        <v>188</v>
      </c>
    </row>
    <row r="19" spans="1:25" x14ac:dyDescent="0.35">
      <c r="A19" s="15"/>
      <c r="B19" s="13">
        <v>193</v>
      </c>
      <c r="C19" s="13">
        <v>190</v>
      </c>
      <c r="D19" s="13">
        <v>188</v>
      </c>
      <c r="E19" s="13">
        <v>169</v>
      </c>
      <c r="G19" t="str">
        <f>A5</f>
        <v>Blend X</v>
      </c>
      <c r="H19" s="29">
        <f>VAR(B5:B9)</f>
        <v>844.20000000000073</v>
      </c>
      <c r="I19" s="30">
        <f>VAR(C5:C9)</f>
        <v>707.79999999999927</v>
      </c>
      <c r="J19" s="30">
        <f>VAR(D5:D9)</f>
        <v>278.7</v>
      </c>
      <c r="K19" s="31">
        <f>VAR(E5:E9)</f>
        <v>354.20000000000073</v>
      </c>
      <c r="L19">
        <f>VAR(B5:E9)</f>
        <v>782.3657894736848</v>
      </c>
      <c r="V19" s="44" t="str">
        <f>E4</f>
        <v>Rice</v>
      </c>
      <c r="W19" s="44">
        <f>IF(E5="","",E5)</f>
        <v>151</v>
      </c>
      <c r="X19" s="44">
        <f>IF(E10="","",E10)</f>
        <v>167</v>
      </c>
      <c r="Y19" s="44">
        <f>IF(E15="","",E15)</f>
        <v>175</v>
      </c>
    </row>
    <row r="20" spans="1:25" x14ac:dyDescent="0.35">
      <c r="G20" t="str">
        <f>A10</f>
        <v>Blend Y</v>
      </c>
      <c r="H20" s="64">
        <f>VAR(B10:B14)</f>
        <v>498.70000000000073</v>
      </c>
      <c r="I20">
        <f>VAR(C10:C14)</f>
        <v>978.29999999999927</v>
      </c>
      <c r="J20">
        <f>VAR(D10:D14)</f>
        <v>165.7</v>
      </c>
      <c r="K20" s="34">
        <f>VAR(E10:E14)</f>
        <v>217.3</v>
      </c>
      <c r="L20">
        <f>VAR(B10:E14)</f>
        <v>511.04210526315728</v>
      </c>
      <c r="V20" s="65"/>
      <c r="W20" s="65">
        <f>IF(E6="","",E6)</f>
        <v>125</v>
      </c>
      <c r="X20" s="65">
        <f>IF(E11="","",E11)</f>
        <v>183</v>
      </c>
      <c r="Y20" s="65">
        <f>IF(E16="","",E16)</f>
        <v>173</v>
      </c>
    </row>
    <row r="21" spans="1:25" x14ac:dyDescent="0.35">
      <c r="G21" t="str">
        <f>A15</f>
        <v>Blend Z</v>
      </c>
      <c r="H21" s="37">
        <f>VAR(B15:B19)</f>
        <v>443.30000000000291</v>
      </c>
      <c r="I21" s="38">
        <f>VAR(C15:C19)</f>
        <v>428.80000000000291</v>
      </c>
      <c r="J21" s="38">
        <f>VAR(D15:D19)</f>
        <v>212.3</v>
      </c>
      <c r="K21" s="39">
        <f>VAR(E15:E19)</f>
        <v>175.8</v>
      </c>
      <c r="L21">
        <f>VAR(B15:E19)</f>
        <v>330.69473684210283</v>
      </c>
      <c r="V21" s="65"/>
      <c r="W21" s="65">
        <f>IF(E7="","",E7)</f>
        <v>117</v>
      </c>
      <c r="X21" s="65">
        <f>IF(E12="","",E12)</f>
        <v>142</v>
      </c>
      <c r="Y21" s="65">
        <f>IF(E17="","",E17)</f>
        <v>154</v>
      </c>
    </row>
    <row r="22" spans="1:25" x14ac:dyDescent="0.35">
      <c r="H22">
        <f>VAR(B5:B19)</f>
        <v>705.83809523809555</v>
      </c>
      <c r="I22">
        <f>VAR(C5:C19)</f>
        <v>871.02857142857306</v>
      </c>
      <c r="J22">
        <f>VAR(D5:D19)</f>
        <v>605.98095238095266</v>
      </c>
      <c r="K22">
        <f>VAR(E5:E19)</f>
        <v>404.95238095237954</v>
      </c>
      <c r="L22">
        <f>VAR(B5:E19)</f>
        <v>671.87881355932359</v>
      </c>
      <c r="V22" s="65"/>
      <c r="W22" s="65">
        <f>IF(E8="","",E8)</f>
        <v>155</v>
      </c>
      <c r="X22" s="65">
        <f>IF(E13="","",E13)</f>
        <v>167</v>
      </c>
      <c r="Y22" s="65">
        <f>IF(E18="","",E18)</f>
        <v>191</v>
      </c>
    </row>
    <row r="23" spans="1:25" x14ac:dyDescent="0.35">
      <c r="V23" s="43"/>
      <c r="W23" s="43">
        <f>IF(E9="","",E9)</f>
        <v>158</v>
      </c>
      <c r="X23" s="43">
        <f>IF(E14="","",E14)</f>
        <v>168</v>
      </c>
      <c r="Y23" s="43">
        <f>IF(E19="","",E19)</f>
        <v>169</v>
      </c>
    </row>
  </sheetData>
  <mergeCells count="1">
    <mergeCell ref="B3:E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E2633-1A2C-4A18-AD1C-93AF18F19636}">
  <sheetPr codeName="Sheet458"/>
  <dimension ref="A1:AB22"/>
  <sheetViews>
    <sheetView workbookViewId="0"/>
  </sheetViews>
  <sheetFormatPr defaultRowHeight="14.5" x14ac:dyDescent="0.35"/>
  <cols>
    <col min="1" max="1" width="8.54296875" customWidth="1"/>
    <col min="2" max="5" width="7.54296875" customWidth="1"/>
    <col min="6" max="6" width="4.81640625" customWidth="1"/>
    <col min="7" max="7" width="7.7265625" customWidth="1"/>
    <col min="13" max="13" width="4.1796875" customWidth="1"/>
    <col min="16" max="16" width="4.453125" customWidth="1"/>
    <col min="20" max="20" width="8.7265625" customWidth="1"/>
  </cols>
  <sheetData>
    <row r="1" spans="1:28" x14ac:dyDescent="0.35">
      <c r="A1" s="1" t="s">
        <v>52</v>
      </c>
      <c r="G1" t="s">
        <v>41</v>
      </c>
      <c r="N1" t="s">
        <v>42</v>
      </c>
      <c r="V1" t="s">
        <v>53</v>
      </c>
    </row>
    <row r="3" spans="1:28" ht="15" thickBot="1" x14ac:dyDescent="0.4">
      <c r="B3" s="66" t="s">
        <v>3</v>
      </c>
      <c r="C3" s="67"/>
      <c r="D3" s="67"/>
      <c r="E3" s="68"/>
      <c r="G3" t="s">
        <v>44</v>
      </c>
      <c r="H3" t="str">
        <f>IF(COUNTIF(H5:K7,H5)=COUNT(H5:K7),"balanced","unbalanced")</f>
        <v>balanced</v>
      </c>
      <c r="N3" t="s">
        <v>19</v>
      </c>
      <c r="R3" s="20" t="s">
        <v>45</v>
      </c>
      <c r="S3" s="20">
        <v>0.05</v>
      </c>
      <c r="V3" t="s">
        <v>19</v>
      </c>
      <c r="Z3" s="20" t="s">
        <v>45</v>
      </c>
      <c r="AA3" s="20">
        <v>0.05</v>
      </c>
    </row>
    <row r="4" spans="1:28" ht="15" thickTop="1" x14ac:dyDescent="0.35">
      <c r="A4" s="69" t="s">
        <v>10</v>
      </c>
      <c r="B4" s="70" t="s">
        <v>5</v>
      </c>
      <c r="C4" s="70" t="s">
        <v>6</v>
      </c>
      <c r="D4" s="70" t="s">
        <v>7</v>
      </c>
      <c r="E4" s="70" t="s">
        <v>8</v>
      </c>
      <c r="H4" s="20" t="str">
        <f>B4</f>
        <v>Wheat</v>
      </c>
      <c r="I4" s="20" t="str">
        <f>C4</f>
        <v>Corn</v>
      </c>
      <c r="J4" s="20" t="str">
        <f>D4</f>
        <v>Soy</v>
      </c>
      <c r="K4" s="20" t="str">
        <f>E4</f>
        <v>Rice</v>
      </c>
      <c r="N4" s="27"/>
      <c r="O4" s="27" t="s">
        <v>21</v>
      </c>
      <c r="P4" s="27" t="s">
        <v>22</v>
      </c>
      <c r="Q4" s="27" t="s">
        <v>23</v>
      </c>
      <c r="R4" s="27" t="s">
        <v>24</v>
      </c>
      <c r="S4" s="27" t="s">
        <v>46</v>
      </c>
      <c r="T4" s="27" t="s">
        <v>47</v>
      </c>
      <c r="V4" s="27"/>
      <c r="W4" s="27" t="s">
        <v>21</v>
      </c>
      <c r="X4" s="27" t="s">
        <v>22</v>
      </c>
      <c r="Y4" s="27" t="s">
        <v>23</v>
      </c>
      <c r="Z4" s="27" t="s">
        <v>24</v>
      </c>
      <c r="AA4" s="27" t="s">
        <v>46</v>
      </c>
      <c r="AB4" s="27" t="s">
        <v>47</v>
      </c>
    </row>
    <row r="5" spans="1:28" x14ac:dyDescent="0.35">
      <c r="A5" s="9" t="s">
        <v>11</v>
      </c>
      <c r="B5" s="10">
        <v>123</v>
      </c>
      <c r="C5" s="10">
        <v>128</v>
      </c>
      <c r="D5" s="10">
        <v>166</v>
      </c>
      <c r="E5" s="10">
        <v>151</v>
      </c>
      <c r="G5" t="str">
        <f>A5</f>
        <v>Blend X</v>
      </c>
      <c r="H5" s="29">
        <f>COUNT(B5:B9)</f>
        <v>5</v>
      </c>
      <c r="I5" s="30">
        <f>COUNT(C5:C9)</f>
        <v>5</v>
      </c>
      <c r="J5" s="30">
        <f>COUNT(D5:D9)</f>
        <v>5</v>
      </c>
      <c r="K5" s="31">
        <f>COUNT(E5:E9)</f>
        <v>5</v>
      </c>
      <c r="L5">
        <f>COUNT(B5:E9)</f>
        <v>20</v>
      </c>
      <c r="N5" t="s">
        <v>48</v>
      </c>
      <c r="O5">
        <f>DEVSQ(L12:L14)*L5</f>
        <v>8782.8999999999887</v>
      </c>
      <c r="P5">
        <f>COUNT(L12:L14)-1</f>
        <v>2</v>
      </c>
      <c r="Q5">
        <f>O5/P5</f>
        <v>4391.4499999999944</v>
      </c>
      <c r="R5">
        <f>Q5/Q8</f>
        <v>9.9333471565097486</v>
      </c>
      <c r="S5">
        <f>FDIST(R5,P5,P8)</f>
        <v>2.4548728137133846E-4</v>
      </c>
      <c r="T5">
        <f>O5/(O5+O8)</f>
        <v>0.29273113290871283</v>
      </c>
      <c r="V5" t="str">
        <f>G12</f>
        <v>Blend X</v>
      </c>
      <c r="W5">
        <f>SUMPRODUCT(H5:K5,(H12:K12-L12)^2)</f>
        <v>6125.3500000000022</v>
      </c>
      <c r="X5">
        <f>COUNT(H5:K5)-1</f>
        <v>3</v>
      </c>
      <c r="Y5">
        <f>W5/X5</f>
        <v>2041.783333333334</v>
      </c>
      <c r="Z5">
        <f>Y5/Y$8</f>
        <v>4.6184614804621926</v>
      </c>
      <c r="AA5">
        <f>FDIST(Z5,X5,X$8)</f>
        <v>6.4357751553108323E-3</v>
      </c>
      <c r="AB5" s="18">
        <f>W5/W8</f>
        <v>0.28865384252888704</v>
      </c>
    </row>
    <row r="6" spans="1:28" x14ac:dyDescent="0.35">
      <c r="A6" s="62"/>
      <c r="B6" s="63">
        <v>156</v>
      </c>
      <c r="C6" s="63">
        <v>150</v>
      </c>
      <c r="D6" s="63">
        <v>178</v>
      </c>
      <c r="E6" s="63">
        <v>125</v>
      </c>
      <c r="G6" t="str">
        <f>A10</f>
        <v>Blend Y</v>
      </c>
      <c r="H6" s="64">
        <f>COUNT(B10:B14)</f>
        <v>5</v>
      </c>
      <c r="I6">
        <f>COUNT(C10:C14)</f>
        <v>5</v>
      </c>
      <c r="J6">
        <f>COUNT(D10:D14)</f>
        <v>5</v>
      </c>
      <c r="K6" s="34">
        <f>COUNT(E10:E14)</f>
        <v>5</v>
      </c>
      <c r="L6">
        <f>COUNT(B10:E14)</f>
        <v>20</v>
      </c>
      <c r="N6" t="s">
        <v>49</v>
      </c>
      <c r="O6">
        <f>DEVSQ(H15:K15)*H8</f>
        <v>3411.65</v>
      </c>
      <c r="P6">
        <f>COUNT(H15:K15)-1</f>
        <v>3</v>
      </c>
      <c r="Q6">
        <f>O6/P6</f>
        <v>1137.2166666666667</v>
      </c>
      <c r="R6">
        <f>Q6/Q8</f>
        <v>2.572354903771839</v>
      </c>
      <c r="S6">
        <f>FDIST(R6,P6,P8)</f>
        <v>6.4943822161567188E-2</v>
      </c>
      <c r="T6">
        <f>O6/(O6+O8)</f>
        <v>0.13850450936889119</v>
      </c>
      <c r="V6" t="str">
        <f>G13</f>
        <v>Blend Y</v>
      </c>
      <c r="W6">
        <f>SUMPRODUCT(H6:K6,(H13:K13-L13)^2)</f>
        <v>2269.8000000000029</v>
      </c>
      <c r="X6">
        <f>COUNT(H6:K6)-1</f>
        <v>3</v>
      </c>
      <c r="Y6">
        <f>W6/X6</f>
        <v>756.60000000000093</v>
      </c>
      <c r="Z6">
        <f>Y6/Y$8</f>
        <v>1.711409775499048</v>
      </c>
      <c r="AA6">
        <f>FDIST(Z6,X6,X$8)</f>
        <v>0.17716704598825347</v>
      </c>
      <c r="AB6" s="18">
        <f>W6/W8</f>
        <v>0.1069631109686905</v>
      </c>
    </row>
    <row r="7" spans="1:28" x14ac:dyDescent="0.35">
      <c r="A7" s="62"/>
      <c r="B7" s="63">
        <v>112</v>
      </c>
      <c r="C7" s="63">
        <v>174</v>
      </c>
      <c r="D7" s="63">
        <v>187</v>
      </c>
      <c r="E7" s="63">
        <v>117</v>
      </c>
      <c r="G7" t="str">
        <f>A15</f>
        <v>Blend Z</v>
      </c>
      <c r="H7" s="37">
        <f>COUNT(B15:B19)</f>
        <v>5</v>
      </c>
      <c r="I7" s="38">
        <f>COUNT(C15:C19)</f>
        <v>5</v>
      </c>
      <c r="J7" s="38">
        <f>COUNT(D15:D19)</f>
        <v>5</v>
      </c>
      <c r="K7" s="39">
        <f>COUNT(E15:E19)</f>
        <v>5</v>
      </c>
      <c r="L7">
        <f>COUNT(B15:E19)</f>
        <v>20</v>
      </c>
      <c r="N7" t="s">
        <v>31</v>
      </c>
      <c r="O7">
        <f>O9-O5-O6-O8</f>
        <v>6225.9000000000779</v>
      </c>
      <c r="P7">
        <f>P6*P5</f>
        <v>6</v>
      </c>
      <c r="Q7">
        <f>O7/P7</f>
        <v>1037.6500000000131</v>
      </c>
      <c r="R7">
        <f>Q7/Q8</f>
        <v>2.3471376599875859</v>
      </c>
      <c r="S7">
        <f>FDIST(R7,P7,P8)</f>
        <v>4.5555492136470324E-2</v>
      </c>
      <c r="T7">
        <f>O7/(O7+O8)</f>
        <v>0.22683931896102769</v>
      </c>
      <c r="V7" t="str">
        <f>G14</f>
        <v>Blend Z</v>
      </c>
      <c r="W7">
        <f>SUMPRODUCT(H7:K7,(H14:K14-L14)^2)</f>
        <v>1242.3999999999999</v>
      </c>
      <c r="X7">
        <f>COUNT(H7:K7)-1</f>
        <v>3</v>
      </c>
      <c r="Y7">
        <f>W7/X7</f>
        <v>414.13333333333327</v>
      </c>
      <c r="Z7">
        <f>Y7/Y$8</f>
        <v>0.93675896778571432</v>
      </c>
      <c r="AA7">
        <f>FDIST(Z7,X7,X$8)</f>
        <v>0.43026785137801982</v>
      </c>
      <c r="AB7" s="18">
        <f>W7/W8</f>
        <v>5.8547435486607145E-2</v>
      </c>
    </row>
    <row r="8" spans="1:28" x14ac:dyDescent="0.35">
      <c r="A8" s="62"/>
      <c r="B8" s="63">
        <v>100</v>
      </c>
      <c r="C8" s="63">
        <v>116</v>
      </c>
      <c r="D8" s="63">
        <v>153</v>
      </c>
      <c r="E8" s="63">
        <v>155</v>
      </c>
      <c r="H8">
        <f>COUNT(B5:B19)</f>
        <v>15</v>
      </c>
      <c r="I8">
        <f>COUNT(C5:C19)</f>
        <v>15</v>
      </c>
      <c r="J8">
        <f>COUNT(D5:D19)</f>
        <v>15</v>
      </c>
      <c r="K8">
        <f>COUNT(E5:E19)</f>
        <v>15</v>
      </c>
      <c r="L8">
        <f>COUNT(B5:E19)</f>
        <v>60</v>
      </c>
      <c r="N8" t="s">
        <v>32</v>
      </c>
      <c r="O8">
        <f>SUM(H19:K21)*(H5-1)</f>
        <v>21220.400000000027</v>
      </c>
      <c r="P8">
        <f>P9-P5-P6-P7</f>
        <v>48</v>
      </c>
      <c r="Q8">
        <f>O8/P8</f>
        <v>442.09166666666721</v>
      </c>
      <c r="V8" s="71" t="s">
        <v>54</v>
      </c>
      <c r="W8" s="71">
        <f>SUMPRODUCT(H19:K21,(H5:K7-1))</f>
        <v>21220.400000000027</v>
      </c>
      <c r="X8" s="71">
        <f>SUM(H5:K7)-COUNT(H5:K5)*COUNT(H5:H7)</f>
        <v>48</v>
      </c>
      <c r="Y8" s="71">
        <f>W8/X8</f>
        <v>442.09166666666721</v>
      </c>
      <c r="Z8" s="71"/>
      <c r="AA8" s="71"/>
      <c r="AB8" s="71"/>
    </row>
    <row r="9" spans="1:28" x14ac:dyDescent="0.35">
      <c r="A9" s="62"/>
      <c r="B9" s="72">
        <v>168</v>
      </c>
      <c r="C9" s="72">
        <v>109</v>
      </c>
      <c r="D9" s="72">
        <v>195</v>
      </c>
      <c r="E9" s="72">
        <v>158</v>
      </c>
      <c r="N9" s="71" t="s">
        <v>9</v>
      </c>
      <c r="O9" s="71">
        <f>Q9*P9</f>
        <v>39640.850000000093</v>
      </c>
      <c r="P9" s="71">
        <f>L8-1</f>
        <v>59</v>
      </c>
      <c r="Q9" s="71">
        <f>L22</f>
        <v>671.87881355932359</v>
      </c>
      <c r="R9" s="71"/>
      <c r="S9" s="71"/>
      <c r="T9" s="71"/>
    </row>
    <row r="10" spans="1:28" x14ac:dyDescent="0.35">
      <c r="A10" s="9" t="s">
        <v>16</v>
      </c>
      <c r="B10" s="10">
        <v>135</v>
      </c>
      <c r="C10" s="10">
        <v>175</v>
      </c>
      <c r="D10" s="10">
        <v>140</v>
      </c>
      <c r="E10" s="10">
        <v>167</v>
      </c>
      <c r="G10" t="s">
        <v>50</v>
      </c>
    </row>
    <row r="11" spans="1:28" x14ac:dyDescent="0.35">
      <c r="A11" s="62"/>
      <c r="B11" s="63">
        <v>130</v>
      </c>
      <c r="C11" s="63">
        <v>132</v>
      </c>
      <c r="D11" s="63">
        <v>145</v>
      </c>
      <c r="E11" s="63">
        <v>183</v>
      </c>
      <c r="H11" s="20" t="str">
        <f>B4</f>
        <v>Wheat</v>
      </c>
      <c r="I11" s="20" t="str">
        <f>C4</f>
        <v>Corn</v>
      </c>
      <c r="J11" s="20" t="str">
        <f>D4</f>
        <v>Soy</v>
      </c>
      <c r="K11" s="20" t="str">
        <f>E4</f>
        <v>Rice</v>
      </c>
      <c r="V11" t="s">
        <v>55</v>
      </c>
    </row>
    <row r="12" spans="1:28" x14ac:dyDescent="0.35">
      <c r="A12" s="62"/>
      <c r="B12" s="63">
        <v>176</v>
      </c>
      <c r="C12" s="63">
        <v>120</v>
      </c>
      <c r="D12" s="63">
        <v>159</v>
      </c>
      <c r="E12" s="63">
        <v>142</v>
      </c>
      <c r="G12" t="str">
        <f>A5</f>
        <v>Blend X</v>
      </c>
      <c r="H12" s="29">
        <f>AVERAGE(B5:B9)</f>
        <v>131.80000000000001</v>
      </c>
      <c r="I12" s="30">
        <f>AVERAGE(C5:C9)</f>
        <v>135.4</v>
      </c>
      <c r="J12" s="30">
        <f>AVERAGE(D5:D9)</f>
        <v>175.8</v>
      </c>
      <c r="K12" s="31">
        <f>AVERAGE(E5:E9)</f>
        <v>141.19999999999999</v>
      </c>
      <c r="L12">
        <f>AVERAGE(B5:E9)</f>
        <v>146.05000000000001</v>
      </c>
    </row>
    <row r="13" spans="1:28" ht="15" thickBot="1" x14ac:dyDescent="0.4">
      <c r="A13" s="62"/>
      <c r="B13" s="63">
        <v>120</v>
      </c>
      <c r="C13" s="63">
        <v>187</v>
      </c>
      <c r="D13" s="63">
        <v>131</v>
      </c>
      <c r="E13" s="63">
        <v>167</v>
      </c>
      <c r="G13" t="str">
        <f>A10</f>
        <v>Blend Y</v>
      </c>
      <c r="H13" s="64">
        <f>AVERAGE(B10:B14)</f>
        <v>143.19999999999999</v>
      </c>
      <c r="I13">
        <f>AVERAGE(C10:C14)</f>
        <v>159.6</v>
      </c>
      <c r="J13">
        <f>AVERAGE(D10:D14)</f>
        <v>140.19999999999999</v>
      </c>
      <c r="K13" s="34">
        <f>AVERAGE(E10:E14)</f>
        <v>165.4</v>
      </c>
      <c r="L13">
        <f>AVERAGE(B10:E14)</f>
        <v>152.1</v>
      </c>
      <c r="V13" t="s">
        <v>19</v>
      </c>
      <c r="Z13" s="20" t="s">
        <v>45</v>
      </c>
      <c r="AA13" s="20">
        <v>0.05</v>
      </c>
    </row>
    <row r="14" spans="1:28" ht="15" thickTop="1" x14ac:dyDescent="0.35">
      <c r="A14" s="73"/>
      <c r="B14" s="13">
        <v>155</v>
      </c>
      <c r="C14" s="13">
        <v>184</v>
      </c>
      <c r="D14" s="13">
        <v>126</v>
      </c>
      <c r="E14" s="13">
        <v>168</v>
      </c>
      <c r="G14" t="str">
        <f>A15</f>
        <v>Blend Z</v>
      </c>
      <c r="H14" s="37">
        <f>AVERAGE(B15:B19)</f>
        <v>164.4</v>
      </c>
      <c r="I14" s="38">
        <f>AVERAGE(C15:C19)</f>
        <v>173.6</v>
      </c>
      <c r="J14" s="38">
        <f>AVERAGE(D15:D19)</f>
        <v>186.4</v>
      </c>
      <c r="K14" s="39">
        <f>AVERAGE(E15:E19)</f>
        <v>172.4</v>
      </c>
      <c r="L14">
        <f>AVERAGE(B15:E19)</f>
        <v>174.2</v>
      </c>
      <c r="V14" s="27"/>
      <c r="W14" s="27" t="s">
        <v>21</v>
      </c>
      <c r="X14" s="27" t="s">
        <v>22</v>
      </c>
      <c r="Y14" s="27" t="s">
        <v>23</v>
      </c>
      <c r="Z14" s="27" t="s">
        <v>24</v>
      </c>
      <c r="AA14" s="27" t="s">
        <v>46</v>
      </c>
      <c r="AB14" s="27" t="s">
        <v>47</v>
      </c>
    </row>
    <row r="15" spans="1:28" x14ac:dyDescent="0.35">
      <c r="A15" s="9" t="s">
        <v>17</v>
      </c>
      <c r="B15" s="10">
        <v>156</v>
      </c>
      <c r="C15" s="10">
        <v>186</v>
      </c>
      <c r="D15" s="10">
        <v>185</v>
      </c>
      <c r="E15" s="10">
        <v>175</v>
      </c>
      <c r="H15">
        <f>AVERAGE(B5:B19)</f>
        <v>146.46666666666667</v>
      </c>
      <c r="I15">
        <f>AVERAGE(C5:C19)</f>
        <v>156.19999999999999</v>
      </c>
      <c r="J15">
        <f>AVERAGE(D5:D19)</f>
        <v>167.46666666666667</v>
      </c>
      <c r="K15">
        <f>AVERAGE(E5:E19)</f>
        <v>159.66666666666666</v>
      </c>
      <c r="L15">
        <f>AVERAGE(B5:E19)</f>
        <v>157.44999999999999</v>
      </c>
      <c r="V15" t="str">
        <f>H11</f>
        <v>Wheat</v>
      </c>
      <c r="W15">
        <f>SUMPRODUCT(H5:H7,(H12:H14-H$15)^2)</f>
        <v>2736.9333333333334</v>
      </c>
      <c r="X15">
        <f>COUNT(H5:H7)-1</f>
        <v>2</v>
      </c>
      <c r="Y15">
        <f>W15/X15</f>
        <v>1368.4666666666667</v>
      </c>
      <c r="Z15">
        <f>Y15/Y$19</f>
        <v>3.0954364667960981</v>
      </c>
      <c r="AA15">
        <f>FDIST(Z15,X15,X$19)</f>
        <v>5.4395399584390158E-2</v>
      </c>
      <c r="AB15" s="18">
        <f>W15/W19</f>
        <v>0.12897651944983743</v>
      </c>
    </row>
    <row r="16" spans="1:28" x14ac:dyDescent="0.35">
      <c r="A16" s="73"/>
      <c r="B16" s="74">
        <v>180</v>
      </c>
      <c r="C16" s="74">
        <v>138</v>
      </c>
      <c r="D16" s="74">
        <v>206</v>
      </c>
      <c r="E16" s="74">
        <v>173</v>
      </c>
      <c r="V16" t="str">
        <f>I11</f>
        <v>Corn</v>
      </c>
      <c r="W16">
        <f>SUMPRODUCT(I5:I7,(I12:I14-I$15)^2)</f>
        <v>3734.7999999999979</v>
      </c>
      <c r="X16">
        <f>COUNT(I5:I7)-1</f>
        <v>2</v>
      </c>
      <c r="Y16">
        <f>W16/X16</f>
        <v>1867.399999999999</v>
      </c>
      <c r="Z16">
        <f>Y16/Y$19</f>
        <v>4.2240108574767605</v>
      </c>
      <c r="AA16">
        <f>FDIST(Z16,X16,X$19)</f>
        <v>2.0427737506294948E-2</v>
      </c>
      <c r="AB16" s="18">
        <f>W16/W19</f>
        <v>0.176000452394865</v>
      </c>
    </row>
    <row r="17" spans="1:28" x14ac:dyDescent="0.35">
      <c r="A17" s="73"/>
      <c r="B17" s="74">
        <v>147</v>
      </c>
      <c r="C17" s="74">
        <v>178</v>
      </c>
      <c r="D17" s="74">
        <v>188</v>
      </c>
      <c r="E17" s="74">
        <v>154</v>
      </c>
      <c r="G17" t="s">
        <v>51</v>
      </c>
      <c r="V17" t="str">
        <f>J11</f>
        <v>Soy</v>
      </c>
      <c r="W17">
        <f>SUMPRODUCT(J5:J7,(J12:J14-J$15)^2)</f>
        <v>5856.9333333333379</v>
      </c>
      <c r="X17">
        <f>COUNT(J5:J7)-1</f>
        <v>2</v>
      </c>
      <c r="Y17">
        <f>W17/X17</f>
        <v>2928.466666666669</v>
      </c>
      <c r="Z17">
        <f>Y17/Y$19</f>
        <v>6.6241164162786728</v>
      </c>
      <c r="AA17">
        <f>FDIST(Z17,X17,X$19)</f>
        <v>2.881006192954384E-3</v>
      </c>
      <c r="AB17" s="18">
        <f>W17/W19</f>
        <v>0.27600485067827801</v>
      </c>
    </row>
    <row r="18" spans="1:28" x14ac:dyDescent="0.35">
      <c r="A18" s="73"/>
      <c r="B18" s="74">
        <v>146</v>
      </c>
      <c r="C18" s="74">
        <v>176</v>
      </c>
      <c r="D18" s="74">
        <v>165</v>
      </c>
      <c r="E18" s="74">
        <v>191</v>
      </c>
      <c r="H18" s="20" t="str">
        <f>B4</f>
        <v>Wheat</v>
      </c>
      <c r="I18" s="20" t="str">
        <f>C4</f>
        <v>Corn</v>
      </c>
      <c r="J18" s="20" t="str">
        <f>D4</f>
        <v>Soy</v>
      </c>
      <c r="K18" s="20" t="str">
        <f>E4</f>
        <v>Rice</v>
      </c>
      <c r="V18" t="str">
        <f>K11</f>
        <v>Rice</v>
      </c>
      <c r="W18">
        <f>SUMPRODUCT(K5:K7,(K12:K14-K$15)^2)</f>
        <v>2680.1333333333364</v>
      </c>
      <c r="X18">
        <f>COUNT(K5:K7)-1</f>
        <v>2</v>
      </c>
      <c r="Y18">
        <f>W18/X18</f>
        <v>1340.0666666666682</v>
      </c>
      <c r="Z18">
        <f>Y18/Y$19</f>
        <v>3.0311963959209058</v>
      </c>
      <c r="AA18">
        <f>FDIST(Z18,X18,X$19)</f>
        <v>5.7584204415357727E-2</v>
      </c>
      <c r="AB18" s="18">
        <f>W18/W19</f>
        <v>0.12629984983003775</v>
      </c>
    </row>
    <row r="19" spans="1:28" x14ac:dyDescent="0.35">
      <c r="A19" s="15"/>
      <c r="B19" s="13">
        <v>193</v>
      </c>
      <c r="C19" s="13">
        <v>190</v>
      </c>
      <c r="D19" s="13">
        <v>188</v>
      </c>
      <c r="E19" s="13">
        <v>169</v>
      </c>
      <c r="G19" t="str">
        <f>A5</f>
        <v>Blend X</v>
      </c>
      <c r="H19" s="29">
        <f>VAR(B5:B9)</f>
        <v>844.20000000000073</v>
      </c>
      <c r="I19" s="30">
        <f>VAR(C5:C9)</f>
        <v>707.79999999999927</v>
      </c>
      <c r="J19" s="30">
        <f>VAR(D5:D9)</f>
        <v>278.7</v>
      </c>
      <c r="K19" s="31">
        <f>VAR(E5:E9)</f>
        <v>354.20000000000073</v>
      </c>
      <c r="L19">
        <f>VAR(B5:E9)</f>
        <v>782.3657894736848</v>
      </c>
      <c r="V19" s="24" t="s">
        <v>54</v>
      </c>
      <c r="W19" s="24">
        <f>SUMPRODUCT(H19:K21,(H5:K7-1))</f>
        <v>21220.400000000027</v>
      </c>
      <c r="X19" s="24">
        <f>SUM(H5:K7)-COUNT(H5:K5)*COUNT(H5:H7)</f>
        <v>48</v>
      </c>
      <c r="Y19" s="24">
        <f>W19/X19</f>
        <v>442.09166666666721</v>
      </c>
      <c r="Z19" s="24"/>
      <c r="AA19" s="24"/>
      <c r="AB19" s="24"/>
    </row>
    <row r="20" spans="1:28" x14ac:dyDescent="0.35">
      <c r="G20" t="str">
        <f>A10</f>
        <v>Blend Y</v>
      </c>
      <c r="H20" s="75">
        <f>VAR(B10:B14)</f>
        <v>498.70000000000073</v>
      </c>
      <c r="I20">
        <f>VAR(C10:C14)</f>
        <v>978.29999999999927</v>
      </c>
      <c r="J20">
        <f>VAR(D10:D14)</f>
        <v>165.7</v>
      </c>
      <c r="K20" s="34">
        <f>VAR(E10:E14)</f>
        <v>217.3</v>
      </c>
      <c r="L20">
        <f>VAR(B10:E14)</f>
        <v>511.04210526315728</v>
      </c>
    </row>
    <row r="21" spans="1:28" x14ac:dyDescent="0.35">
      <c r="G21" t="str">
        <f>A15</f>
        <v>Blend Z</v>
      </c>
      <c r="H21" s="37">
        <f>VAR(B15:B19)</f>
        <v>443.30000000000291</v>
      </c>
      <c r="I21" s="38">
        <f>VAR(C15:C19)</f>
        <v>428.80000000000291</v>
      </c>
      <c r="J21" s="38">
        <f>VAR(D15:D19)</f>
        <v>212.3</v>
      </c>
      <c r="K21" s="39">
        <f>VAR(E15:E19)</f>
        <v>175.8</v>
      </c>
      <c r="L21">
        <f>VAR(B15:E19)</f>
        <v>330.69473684210283</v>
      </c>
    </row>
    <row r="22" spans="1:28" x14ac:dyDescent="0.35">
      <c r="H22">
        <f>VAR(B5:B19)</f>
        <v>705.83809523809555</v>
      </c>
      <c r="I22">
        <f>VAR(C5:C19)</f>
        <v>871.02857142857306</v>
      </c>
      <c r="J22">
        <f>VAR(D5:D19)</f>
        <v>605.98095238095266</v>
      </c>
      <c r="K22">
        <f>VAR(E5:E19)</f>
        <v>404.95238095237954</v>
      </c>
      <c r="L22">
        <f>VAR(B5:E19)</f>
        <v>671.87881355932359</v>
      </c>
    </row>
  </sheetData>
  <mergeCells count="1">
    <mergeCell ref="B3:E3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775F1-CF35-4147-A152-2EAA3BBE97E3}">
  <sheetPr codeName="Sheet255"/>
  <dimension ref="A1:V27"/>
  <sheetViews>
    <sheetView zoomScaleNormal="100" workbookViewId="0"/>
  </sheetViews>
  <sheetFormatPr defaultRowHeight="14.5" x14ac:dyDescent="0.35"/>
  <cols>
    <col min="1" max="1" width="8" customWidth="1"/>
    <col min="2" max="2" width="6.90625" customWidth="1"/>
    <col min="3" max="3" width="4.81640625" customWidth="1"/>
    <col min="4" max="4" width="4.1796875" customWidth="1"/>
    <col min="10" max="10" width="4.1796875" customWidth="1"/>
    <col min="11" max="11" width="8.453125" customWidth="1"/>
    <col min="13" max="13" width="4.453125" customWidth="1"/>
    <col min="17" max="17" width="8.7265625" customWidth="1"/>
    <col min="18" max="18" width="4.1796875" customWidth="1"/>
    <col min="19" max="19" width="7.1796875" customWidth="1"/>
    <col min="20" max="22" width="6.90625" customWidth="1"/>
  </cols>
  <sheetData>
    <row r="1" spans="1:22" x14ac:dyDescent="0.35">
      <c r="A1" s="1"/>
      <c r="E1" t="s">
        <v>41</v>
      </c>
      <c r="K1" t="s">
        <v>42</v>
      </c>
      <c r="S1" t="s">
        <v>56</v>
      </c>
    </row>
    <row r="2" spans="1:22" x14ac:dyDescent="0.35">
      <c r="A2" s="1"/>
    </row>
    <row r="3" spans="1:22" ht="15" thickBot="1" x14ac:dyDescent="0.4">
      <c r="A3" t="s">
        <v>57</v>
      </c>
      <c r="B3" t="s">
        <v>3</v>
      </c>
      <c r="C3" s="18" t="s">
        <v>58</v>
      </c>
      <c r="E3" t="s">
        <v>44</v>
      </c>
      <c r="F3" t="str">
        <f ca="1">IF(COUNTIF(F5:H6,F5)=COUNT(F5:H6),"balanced","unbalanced")</f>
        <v>balanced</v>
      </c>
      <c r="K3" t="s">
        <v>19</v>
      </c>
      <c r="O3" s="20" t="s">
        <v>45</v>
      </c>
      <c r="P3" s="20">
        <v>0.05</v>
      </c>
      <c r="S3" s="44" t="e">
        <f t="array" aca="1" ref="S3:V11" ca="1">StdAnova2(A4:C27)</f>
        <v>#NAME?</v>
      </c>
      <c r="T3" s="76" t="e">
        <f ca="1"/>
        <v>#NAME?</v>
      </c>
      <c r="U3" s="76" t="e">
        <f ca="1"/>
        <v>#NAME?</v>
      </c>
      <c r="V3" s="76" t="e">
        <f ca="1"/>
        <v>#NAME?</v>
      </c>
    </row>
    <row r="4" spans="1:22" ht="15" thickTop="1" x14ac:dyDescent="0.35">
      <c r="A4" s="29" t="s">
        <v>11</v>
      </c>
      <c r="B4" s="30" t="s">
        <v>5</v>
      </c>
      <c r="C4" s="31">
        <v>123</v>
      </c>
      <c r="F4" t="e">
        <f t="array" aca="1" ref="F4:H4" ca="1">TRANSPOSE(SortUnique(B4:B27))</f>
        <v>#NAME?</v>
      </c>
      <c r="G4" t="e">
        <f ca="1"/>
        <v>#NAME?</v>
      </c>
      <c r="H4" t="e">
        <f ca="1"/>
        <v>#NAME?</v>
      </c>
      <c r="K4" s="27"/>
      <c r="L4" s="27" t="s">
        <v>21</v>
      </c>
      <c r="M4" s="27" t="s">
        <v>22</v>
      </c>
      <c r="N4" s="27" t="s">
        <v>23</v>
      </c>
      <c r="O4" s="27" t="s">
        <v>24</v>
      </c>
      <c r="P4" s="27" t="s">
        <v>46</v>
      </c>
      <c r="Q4" s="27" t="s">
        <v>47</v>
      </c>
      <c r="S4" s="44" t="e">
        <f ca="1"/>
        <v>#NAME?</v>
      </c>
      <c r="T4" s="44" t="e">
        <f ca="1"/>
        <v>#NAME?</v>
      </c>
      <c r="U4" s="44" t="e">
        <f ca="1"/>
        <v>#NAME?</v>
      </c>
      <c r="V4" s="44" t="e">
        <f ca="1"/>
        <v>#NAME?</v>
      </c>
    </row>
    <row r="5" spans="1:22" x14ac:dyDescent="0.35">
      <c r="A5" s="64" t="s">
        <v>11</v>
      </c>
      <c r="B5" t="s">
        <v>5</v>
      </c>
      <c r="C5" s="34">
        <v>156</v>
      </c>
      <c r="E5" t="e">
        <f t="array" aca="1" ref="E5:E6" ca="1">SortUnique(A4:A27)</f>
        <v>#NAME?</v>
      </c>
      <c r="F5" s="29">
        <f t="array" aca="1" ref="F5" ca="1">COUNTIFS($A$4:$A$27,$E5,$B$4:$B$27,F$4)</f>
        <v>0</v>
      </c>
      <c r="G5" s="30">
        <f t="array" aca="1" ref="G5" ca="1">COUNTIFS($A$4:$A$27,$E5,$B$4:$B$27,G$4)</f>
        <v>0</v>
      </c>
      <c r="H5" s="31">
        <f t="array" aca="1" ref="H5" ca="1">COUNTIFS($A$4:$A$27,$E5,$B$4:$B$27,H$4)</f>
        <v>0</v>
      </c>
      <c r="I5">
        <f t="array" aca="1" ref="I5" ca="1">SUM(F5:H5)</f>
        <v>0</v>
      </c>
      <c r="K5" t="s">
        <v>48</v>
      </c>
      <c r="L5" t="e">
        <f ca="1">DEVSQ(I11:I12)*I5</f>
        <v>#DIV/0!</v>
      </c>
      <c r="M5">
        <f ca="1">COUNT(I11:I12)-1</f>
        <v>-1</v>
      </c>
      <c r="N5" t="e">
        <f ca="1">L5/M5</f>
        <v>#DIV/0!</v>
      </c>
      <c r="O5" t="e">
        <f ca="1">N5/N8</f>
        <v>#DIV/0!</v>
      </c>
      <c r="P5" t="e">
        <f ca="1">FDIST(O5,M5,M8)</f>
        <v>#DIV/0!</v>
      </c>
      <c r="Q5" t="e">
        <f ca="1">L5/(L5+L8)</f>
        <v>#DIV/0!</v>
      </c>
      <c r="S5" s="65" t="e">
        <f ca="1"/>
        <v>#NAME?</v>
      </c>
      <c r="T5" s="65" t="e">
        <f ca="1"/>
        <v>#NAME?</v>
      </c>
      <c r="U5" s="65" t="e">
        <f ca="1"/>
        <v>#NAME?</v>
      </c>
      <c r="V5" s="65" t="e">
        <f ca="1"/>
        <v>#NAME?</v>
      </c>
    </row>
    <row r="6" spans="1:22" x14ac:dyDescent="0.35">
      <c r="A6" s="64" t="s">
        <v>11</v>
      </c>
      <c r="B6" t="s">
        <v>5</v>
      </c>
      <c r="C6" s="34">
        <v>112</v>
      </c>
      <c r="E6" t="e">
        <f ca="1"/>
        <v>#NAME?</v>
      </c>
      <c r="F6" s="37">
        <f t="array" aca="1" ref="F6" ca="1">COUNTIFS($A$4:$A$27,$E6,$B$4:$B$27,F$4)</f>
        <v>0</v>
      </c>
      <c r="G6" s="38">
        <f t="array" aca="1" ref="G6" ca="1">COUNTIFS($A$4:$A$27,$E6,$B$4:$B$27,G$4)</f>
        <v>0</v>
      </c>
      <c r="H6" s="39">
        <f t="array" aca="1" ref="H6" ca="1">COUNTIFS($A$4:$A$27,$E6,$B$4:$B$27,H$4)</f>
        <v>0</v>
      </c>
      <c r="I6">
        <f t="array" aca="1" ref="I6" ca="1">SUM(F6:H6)</f>
        <v>0</v>
      </c>
      <c r="K6" t="s">
        <v>49</v>
      </c>
      <c r="L6" t="e">
        <f ca="1">DEVSQ(F13:H13)*F7</f>
        <v>#DIV/0!</v>
      </c>
      <c r="M6">
        <f ca="1">COUNT(F13:H13)-1</f>
        <v>-1</v>
      </c>
      <c r="N6" t="e">
        <f ca="1">L6/M6</f>
        <v>#DIV/0!</v>
      </c>
      <c r="O6" t="e">
        <f ca="1">N6/N8</f>
        <v>#DIV/0!</v>
      </c>
      <c r="P6" t="e">
        <f ca="1">FDIST(O6,M6,M8)</f>
        <v>#DIV/0!</v>
      </c>
      <c r="Q6" t="e">
        <f ca="1">L6/(L6+L8)</f>
        <v>#DIV/0!</v>
      </c>
      <c r="S6" s="65" t="e">
        <f ca="1"/>
        <v>#NAME?</v>
      </c>
      <c r="T6" s="65" t="e">
        <f ca="1"/>
        <v>#NAME?</v>
      </c>
      <c r="U6" s="65" t="e">
        <f ca="1"/>
        <v>#NAME?</v>
      </c>
      <c r="V6" s="65" t="e">
        <f ca="1"/>
        <v>#NAME?</v>
      </c>
    </row>
    <row r="7" spans="1:22" x14ac:dyDescent="0.35">
      <c r="A7" s="64" t="s">
        <v>11</v>
      </c>
      <c r="B7" t="s">
        <v>5</v>
      </c>
      <c r="C7" s="34">
        <v>100</v>
      </c>
      <c r="F7">
        <f t="array" aca="1" ref="F7" ca="1">SUM(F5:F6)</f>
        <v>0</v>
      </c>
      <c r="G7">
        <f t="array" aca="1" ref="G7" ca="1">SUM(G5:G6)</f>
        <v>0</v>
      </c>
      <c r="H7">
        <f t="array" aca="1" ref="H7" ca="1">SUM(H5:H6)</f>
        <v>0</v>
      </c>
      <c r="I7">
        <f t="array" aca="1" ref="I7" ca="1">SUM(I5:I6)</f>
        <v>0</v>
      </c>
      <c r="K7" t="s">
        <v>31</v>
      </c>
      <c r="L7" t="e">
        <f ca="1">L9-L5-L6-L8</f>
        <v>#DIV/0!</v>
      </c>
      <c r="M7">
        <f ca="1">M6*M5</f>
        <v>1</v>
      </c>
      <c r="N7" t="e">
        <f ca="1">L7/M7</f>
        <v>#DIV/0!</v>
      </c>
      <c r="O7" t="e">
        <f ca="1">N7/N8</f>
        <v>#DIV/0!</v>
      </c>
      <c r="P7" t="e">
        <f ca="1">FDIST(O7,M7,M8)</f>
        <v>#DIV/0!</v>
      </c>
      <c r="Q7" t="e">
        <f ca="1">L7/(L7+L8)</f>
        <v>#DIV/0!</v>
      </c>
      <c r="S7" s="43" t="e">
        <f ca="1"/>
        <v>#NAME?</v>
      </c>
      <c r="T7" s="43" t="e">
        <f ca="1"/>
        <v>#NAME?</v>
      </c>
      <c r="U7" s="43" t="e">
        <f ca="1"/>
        <v>#NAME?</v>
      </c>
      <c r="V7" s="43" t="e">
        <f ca="1"/>
        <v>#NAME?</v>
      </c>
    </row>
    <row r="8" spans="1:22" x14ac:dyDescent="0.35">
      <c r="A8" s="64" t="s">
        <v>11</v>
      </c>
      <c r="B8" t="s">
        <v>6</v>
      </c>
      <c r="C8" s="34">
        <v>128</v>
      </c>
      <c r="K8" t="s">
        <v>32</v>
      </c>
      <c r="L8" t="e">
        <f ca="1">SUM(F17:H18)*(F5-1)</f>
        <v>#NAME?</v>
      </c>
      <c r="M8">
        <f ca="1">M9-M5-M6-M7</f>
        <v>0</v>
      </c>
      <c r="N8" t="e">
        <f ca="1">L8/M8</f>
        <v>#NAME?</v>
      </c>
      <c r="S8" s="44" t="e">
        <f ca="1"/>
        <v>#NAME?</v>
      </c>
      <c r="T8" s="44" t="e">
        <f ca="1"/>
        <v>#NAME?</v>
      </c>
      <c r="U8" s="44" t="e">
        <f ca="1"/>
        <v>#NAME?</v>
      </c>
      <c r="V8" s="44" t="e">
        <f ca="1"/>
        <v>#NAME?</v>
      </c>
    </row>
    <row r="9" spans="1:22" x14ac:dyDescent="0.35">
      <c r="A9" s="64" t="s">
        <v>11</v>
      </c>
      <c r="B9" t="s">
        <v>6</v>
      </c>
      <c r="C9" s="34">
        <v>150</v>
      </c>
      <c r="E9" t="s">
        <v>50</v>
      </c>
      <c r="K9" s="71" t="s">
        <v>9</v>
      </c>
      <c r="L9" s="71">
        <f ca="1">N9*M9</f>
        <v>-645.73731884057884</v>
      </c>
      <c r="M9" s="71">
        <f ca="1">I7-1</f>
        <v>-1</v>
      </c>
      <c r="N9" s="71">
        <f>I19</f>
        <v>645.73731884057884</v>
      </c>
      <c r="O9" s="71"/>
      <c r="P9" s="71"/>
      <c r="Q9" s="71"/>
      <c r="S9" s="65" t="e">
        <f ca="1"/>
        <v>#NAME?</v>
      </c>
      <c r="T9" s="65" t="e">
        <f ca="1"/>
        <v>#NAME?</v>
      </c>
      <c r="U9" s="65" t="e">
        <f ca="1"/>
        <v>#NAME?</v>
      </c>
      <c r="V9" s="65" t="e">
        <f ca="1"/>
        <v>#NAME?</v>
      </c>
    </row>
    <row r="10" spans="1:22" x14ac:dyDescent="0.35">
      <c r="A10" s="64" t="s">
        <v>11</v>
      </c>
      <c r="B10" t="s">
        <v>6</v>
      </c>
      <c r="C10" s="34">
        <v>174</v>
      </c>
      <c r="F10" t="e">
        <f t="array" aca="1" ref="F10:H10" ca="1">TRANSPOSE(SortUnique(B4:B27))</f>
        <v>#NAME?</v>
      </c>
      <c r="G10" t="e">
        <f ca="1"/>
        <v>#NAME?</v>
      </c>
      <c r="H10" t="e">
        <f ca="1"/>
        <v>#NAME?</v>
      </c>
      <c r="S10" s="65" t="e">
        <f ca="1"/>
        <v>#NAME?</v>
      </c>
      <c r="T10" s="65" t="e">
        <f ca="1"/>
        <v>#NAME?</v>
      </c>
      <c r="U10" s="65" t="e">
        <f ca="1"/>
        <v>#NAME?</v>
      </c>
      <c r="V10" s="65" t="e">
        <f ca="1"/>
        <v>#NAME?</v>
      </c>
    </row>
    <row r="11" spans="1:22" x14ac:dyDescent="0.35">
      <c r="A11" s="64" t="s">
        <v>11</v>
      </c>
      <c r="B11" t="s">
        <v>6</v>
      </c>
      <c r="C11" s="34">
        <v>116</v>
      </c>
      <c r="E11" t="e">
        <f t="array" aca="1" ref="E11:E12" ca="1">SortUnique(A4:A27)</f>
        <v>#NAME?</v>
      </c>
      <c r="F11" s="29" t="e">
        <f t="array" aca="1" ref="F11" ca="1">AVERAGEIFS($C$4:$C$27,$A$4:$A$27,$E11,$B$4:$B$27,F$10)</f>
        <v>#DIV/0!</v>
      </c>
      <c r="G11" s="30" t="e">
        <f t="array" aca="1" ref="G11" ca="1">AVERAGEIFS($C$4:$C$27,$A$4:$A$27,$E11,$B$4:$B$27,G$10)</f>
        <v>#DIV/0!</v>
      </c>
      <c r="H11" s="31" t="e">
        <f t="array" aca="1" ref="H11" ca="1">AVERAGEIFS($C$4:$C$27,$A$4:$A$27,$E11,$B$4:$B$27,H$10)</f>
        <v>#DIV/0!</v>
      </c>
      <c r="I11" t="e">
        <f t="array" aca="1" ref="I11" ca="1">AVERAGE(F11:H11)</f>
        <v>#DIV/0!</v>
      </c>
      <c r="S11" s="43" t="e">
        <f ca="1"/>
        <v>#NAME?</v>
      </c>
      <c r="T11" s="43" t="e">
        <f ca="1"/>
        <v>#NAME?</v>
      </c>
      <c r="U11" s="43" t="e">
        <f ca="1"/>
        <v>#NAME?</v>
      </c>
      <c r="V11" s="43" t="e">
        <f ca="1"/>
        <v>#NAME?</v>
      </c>
    </row>
    <row r="12" spans="1:22" x14ac:dyDescent="0.35">
      <c r="A12" s="64" t="s">
        <v>11</v>
      </c>
      <c r="B12" t="s">
        <v>7</v>
      </c>
      <c r="C12" s="34">
        <v>166</v>
      </c>
      <c r="E12" t="e">
        <f ca="1"/>
        <v>#NAME?</v>
      </c>
      <c r="F12" s="37" t="e">
        <f t="array" aca="1" ref="F12" ca="1">AVERAGEIFS($C$4:$C$27,$A$4:$A$27,$E12,$B$4:$B$27,F$10)</f>
        <v>#DIV/0!</v>
      </c>
      <c r="G12" s="38" t="e">
        <f t="array" aca="1" ref="G12" ca="1">AVERAGEIFS($C$4:$C$27,$A$4:$A$27,$E12,$B$4:$B$27,G$10)</f>
        <v>#DIV/0!</v>
      </c>
      <c r="H12" s="39" t="e">
        <f t="array" aca="1" ref="H12" ca="1">AVERAGEIFS($C$4:$C$27,$A$4:$A$27,$E12,$B$4:$B$27,H$10)</f>
        <v>#DIV/0!</v>
      </c>
      <c r="I12" t="e">
        <f t="array" aca="1" ref="I12" ca="1">AVERAGE(F12:H12)</f>
        <v>#DIV/0!</v>
      </c>
    </row>
    <row r="13" spans="1:22" x14ac:dyDescent="0.35">
      <c r="A13" s="64" t="s">
        <v>11</v>
      </c>
      <c r="B13" t="s">
        <v>7</v>
      </c>
      <c r="C13" s="34">
        <v>178</v>
      </c>
      <c r="F13" t="e">
        <f t="array" aca="1" ref="F13" ca="1">AVERAGE(F11:F12)</f>
        <v>#DIV/0!</v>
      </c>
      <c r="G13" t="e">
        <f t="array" aca="1" ref="G13" ca="1">AVERAGE(G11:G12)</f>
        <v>#DIV/0!</v>
      </c>
      <c r="H13" t="e">
        <f t="array" aca="1" ref="H13" ca="1">AVERAGE(H11:H12)</f>
        <v>#DIV/0!</v>
      </c>
      <c r="I13" t="e">
        <f t="array" aca="1" ref="I13" ca="1">AVERAGE(I11:I12)</f>
        <v>#DIV/0!</v>
      </c>
    </row>
    <row r="14" spans="1:22" x14ac:dyDescent="0.35">
      <c r="A14" s="64" t="s">
        <v>11</v>
      </c>
      <c r="B14" t="s">
        <v>7</v>
      </c>
      <c r="C14" s="34">
        <v>187</v>
      </c>
    </row>
    <row r="15" spans="1:22" x14ac:dyDescent="0.35">
      <c r="A15" s="64" t="s">
        <v>11</v>
      </c>
      <c r="B15" t="s">
        <v>7</v>
      </c>
      <c r="C15" s="34">
        <v>153</v>
      </c>
      <c r="E15" t="s">
        <v>51</v>
      </c>
    </row>
    <row r="16" spans="1:22" x14ac:dyDescent="0.35">
      <c r="A16" s="64" t="s">
        <v>16</v>
      </c>
      <c r="B16" t="s">
        <v>5</v>
      </c>
      <c r="C16" s="34">
        <v>135</v>
      </c>
      <c r="F16" t="e">
        <f t="array" aca="1" ref="F16:H16" ca="1">TRANSPOSE(SortUnique(B4:B27))</f>
        <v>#NAME?</v>
      </c>
      <c r="G16" t="e">
        <f ca="1"/>
        <v>#NAME?</v>
      </c>
      <c r="H16" t="e">
        <f ca="1"/>
        <v>#NAME?</v>
      </c>
    </row>
    <row r="17" spans="1:9" x14ac:dyDescent="0.35">
      <c r="A17" s="64" t="s">
        <v>16</v>
      </c>
      <c r="B17" t="s">
        <v>5</v>
      </c>
      <c r="C17" s="34">
        <v>130</v>
      </c>
      <c r="E17" t="e">
        <f t="array" aca="1" ref="E17:E18" ca="1">SortUnique(A4:A27)</f>
        <v>#NAME?</v>
      </c>
      <c r="F17" s="29" t="e">
        <f t="array" aca="1" ref="F17" ca="1">VAR(IF(($A$4:$A$27=$E17)*($B$4:$B$27=F$16),$C$4:$C$27))</f>
        <v>#NAME?</v>
      </c>
      <c r="G17" s="30" t="e">
        <f t="array" aca="1" ref="G17" ca="1">VAR(IF(($A$4:$A$27=$E17)*($B$4:$B$27=G$16),$C$4:$C$27))</f>
        <v>#NAME?</v>
      </c>
      <c r="H17" s="31" t="e">
        <f t="array" aca="1" ref="H17" ca="1">VAR(IF(($A$4:$A$27=$E17)*($B$4:$B$27=H$16),$C$4:$C$27))</f>
        <v>#NAME?</v>
      </c>
      <c r="I17" t="e">
        <f t="array" aca="1" ref="I17" ca="1">VAR(IF($A$4:$A$27=$E17,$C$4:$C$27))</f>
        <v>#NAME?</v>
      </c>
    </row>
    <row r="18" spans="1:9" x14ac:dyDescent="0.35">
      <c r="A18" s="64" t="s">
        <v>16</v>
      </c>
      <c r="B18" t="s">
        <v>5</v>
      </c>
      <c r="C18" s="34">
        <v>176</v>
      </c>
      <c r="E18" t="e">
        <f ca="1"/>
        <v>#NAME?</v>
      </c>
      <c r="F18" s="37" t="e">
        <f t="array" aca="1" ref="F18" ca="1">VAR(IF(($A$4:$A$27=$E18)*($B$4:$B$27=F$16),$C$4:$C$27))</f>
        <v>#NAME?</v>
      </c>
      <c r="G18" s="38" t="e">
        <f t="array" aca="1" ref="G18" ca="1">VAR(IF(($A$4:$A$27=$E18)*($B$4:$B$27=G$16),$C$4:$C$27))</f>
        <v>#NAME?</v>
      </c>
      <c r="H18" s="39" t="e">
        <f t="array" aca="1" ref="H18" ca="1">VAR(IF(($A$4:$A$27=$E18)*($B$4:$B$27=H$16),$C$4:$C$27))</f>
        <v>#NAME?</v>
      </c>
      <c r="I18" t="e">
        <f t="array" aca="1" ref="I18" ca="1">VAR(IF($A$4:$A$27=$E18,$C$4:$C$27))</f>
        <v>#NAME?</v>
      </c>
    </row>
    <row r="19" spans="1:9" x14ac:dyDescent="0.35">
      <c r="A19" s="64" t="s">
        <v>16</v>
      </c>
      <c r="B19" t="s">
        <v>5</v>
      </c>
      <c r="C19" s="34">
        <v>120</v>
      </c>
      <c r="F19" t="e">
        <f t="array" aca="1" ref="F19" ca="1">VAR(IF($B$4:$B$27=F$16,$C$4:$C$27))</f>
        <v>#NAME?</v>
      </c>
      <c r="G19" t="e">
        <f t="array" aca="1" ref="G19" ca="1">VAR(IF($B$4:$B$27=G$16,$C$4:$C$27))</f>
        <v>#NAME?</v>
      </c>
      <c r="H19" t="e">
        <f t="array" aca="1" ref="H19" ca="1">VAR(IF($B$4:$B$27=H$16,$C$4:$C$27))</f>
        <v>#NAME?</v>
      </c>
      <c r="I19">
        <f>VAR(C4:C27)</f>
        <v>645.73731884057884</v>
      </c>
    </row>
    <row r="20" spans="1:9" x14ac:dyDescent="0.35">
      <c r="A20" s="64" t="s">
        <v>16</v>
      </c>
      <c r="B20" t="s">
        <v>6</v>
      </c>
      <c r="C20" s="34">
        <v>175</v>
      </c>
    </row>
    <row r="21" spans="1:9" x14ac:dyDescent="0.35">
      <c r="A21" s="64" t="s">
        <v>16</v>
      </c>
      <c r="B21" t="s">
        <v>6</v>
      </c>
      <c r="C21" s="34">
        <v>132</v>
      </c>
    </row>
    <row r="22" spans="1:9" x14ac:dyDescent="0.35">
      <c r="A22" s="64" t="s">
        <v>16</v>
      </c>
      <c r="B22" t="s">
        <v>6</v>
      </c>
      <c r="C22" s="34">
        <v>120</v>
      </c>
    </row>
    <row r="23" spans="1:9" x14ac:dyDescent="0.35">
      <c r="A23" s="64" t="s">
        <v>16</v>
      </c>
      <c r="B23" t="s">
        <v>6</v>
      </c>
      <c r="C23" s="34">
        <v>187</v>
      </c>
    </row>
    <row r="24" spans="1:9" x14ac:dyDescent="0.35">
      <c r="A24" s="64" t="s">
        <v>16</v>
      </c>
      <c r="B24" t="s">
        <v>7</v>
      </c>
      <c r="C24" s="34">
        <v>140</v>
      </c>
    </row>
    <row r="25" spans="1:9" x14ac:dyDescent="0.35">
      <c r="A25" s="64" t="s">
        <v>16</v>
      </c>
      <c r="B25" t="s">
        <v>7</v>
      </c>
      <c r="C25" s="34">
        <v>145</v>
      </c>
    </row>
    <row r="26" spans="1:9" x14ac:dyDescent="0.35">
      <c r="A26" s="64" t="s">
        <v>16</v>
      </c>
      <c r="B26" t="s">
        <v>7</v>
      </c>
      <c r="C26" s="34">
        <v>159</v>
      </c>
    </row>
    <row r="27" spans="1:9" x14ac:dyDescent="0.35">
      <c r="A27" s="37" t="s">
        <v>16</v>
      </c>
      <c r="B27" s="38" t="s">
        <v>7</v>
      </c>
      <c r="C27" s="39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Sheet6</vt:lpstr>
      <vt:lpstr>ANOVA 2.2</vt:lpstr>
      <vt:lpstr>ANOVA 2.2A</vt:lpstr>
      <vt:lpstr>Simple Effect</vt:lpstr>
      <vt:lpstr>ANOVA 2.4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2025-11-01T19:16:53Z</dcterms:created>
  <dcterms:modified xsi:type="dcterms:W3CDTF">2025-11-01T19:20:03Z</dcterms:modified>
</cp:coreProperties>
</file>