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B6825C71-F40F-4BC9-B2DB-1D7369FCFFDE}" xr6:coauthVersionLast="47" xr6:coauthVersionMax="47" xr10:uidLastSave="{F4ADE570-E958-41D7-B164-BCEEB5588F7A}"/>
  <bookViews>
    <workbookView xWindow="-110" yWindow="-110" windowWidth="19420" windowHeight="10300" xr2:uid="{F05B5D13-F194-4411-AD8D-592BA6C2FD0C}"/>
  </bookViews>
  <sheets>
    <sheet name="Title" sheetId="3" r:id="rId1"/>
    <sheet name="Ex 1" sheetId="1" r:id="rId2"/>
    <sheet name="Ex 2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2" l="1" a="1"/>
  <c r="M21" i="2" s="1"/>
  <c r="M20" i="2" a="1"/>
  <c r="M20" i="2" s="1"/>
  <c r="M19" i="2" a="1"/>
  <c r="M19" i="2" s="1"/>
  <c r="G19" i="2" a="1"/>
  <c r="H21" i="2" s="1"/>
  <c r="Q38" i="1"/>
  <c r="Q37" i="1"/>
  <c r="Z18" i="1"/>
  <c r="Q18" i="1" a="1"/>
  <c r="Q18" i="1" s="1"/>
  <c r="T17" i="1" a="1"/>
  <c r="U18" i="1" s="1"/>
  <c r="Q17" i="1" a="1"/>
  <c r="Q17" i="1" s="1"/>
  <c r="K17" i="1" a="1"/>
  <c r="L18" i="1" s="1"/>
  <c r="G19" i="2" l="1"/>
  <c r="H14" i="2" s="1" a="1"/>
  <c r="H14" i="2" s="1"/>
  <c r="H19" i="2"/>
  <c r="G20" i="2"/>
  <c r="T17" i="1"/>
  <c r="U12" i="1" s="1"/>
  <c r="H20" i="2"/>
  <c r="U17" i="1"/>
  <c r="G21" i="2"/>
  <c r="T18" i="1"/>
  <c r="K17" i="1"/>
  <c r="L12" i="1" s="1" a="1"/>
  <c r="L12" i="1" s="1"/>
  <c r="L17" i="1"/>
  <c r="K18" i="1"/>
  <c r="F21" i="2" l="1"/>
  <c r="F20" i="2" a="1"/>
  <c r="F20" i="2" s="1"/>
  <c r="F19" i="2"/>
  <c r="H16" i="2"/>
  <c r="G16" i="2"/>
  <c r="G15" i="2"/>
  <c r="G14" i="2"/>
  <c r="G10" i="2"/>
  <c r="K6" i="2" s="1"/>
  <c r="K8" i="2" s="1"/>
  <c r="K37" i="1" a="1"/>
  <c r="K38" i="1" s="1"/>
  <c r="J37" i="1" a="1"/>
  <c r="J38" i="1" s="1"/>
  <c r="H31" i="1"/>
  <c r="G31" i="1"/>
  <c r="F31" i="1"/>
  <c r="G30" i="1"/>
  <c r="F30" i="1"/>
  <c r="G29" i="1"/>
  <c r="F29" i="1"/>
  <c r="H28" i="1"/>
  <c r="G28" i="1"/>
  <c r="F28" i="1"/>
  <c r="H27" i="1"/>
  <c r="G27" i="1"/>
  <c r="F27" i="1"/>
  <c r="H26" i="1"/>
  <c r="G26" i="1"/>
  <c r="F26" i="1"/>
  <c r="L34" i="1" s="1"/>
  <c r="H25" i="1"/>
  <c r="G25" i="1"/>
  <c r="F25" i="1"/>
  <c r="E25" i="1"/>
  <c r="E26" i="1" s="1"/>
  <c r="E27" i="1" s="1"/>
  <c r="E28" i="1" s="1"/>
  <c r="E29" i="1" s="1"/>
  <c r="E30" i="1" s="1"/>
  <c r="E31" i="1" s="1"/>
  <c r="G24" i="1"/>
  <c r="F24" i="1"/>
  <c r="S18" i="1" a="1"/>
  <c r="S18" i="1" s="1"/>
  <c r="J18" i="1"/>
  <c r="J18" i="1" a="1"/>
  <c r="J17" i="1"/>
  <c r="U14" i="1"/>
  <c r="K14" i="1"/>
  <c r="H12" i="1"/>
  <c r="D12" i="1"/>
  <c r="H11" i="1"/>
  <c r="D11" i="1"/>
  <c r="H30" i="1" s="1"/>
  <c r="H10" i="1"/>
  <c r="D10" i="1"/>
  <c r="H29" i="1" s="1"/>
  <c r="H9" i="1"/>
  <c r="D9" i="1"/>
  <c r="A9" i="1"/>
  <c r="A10" i="1" s="1"/>
  <c r="A11" i="1" s="1"/>
  <c r="A12" i="1" s="1"/>
  <c r="T8" i="1"/>
  <c r="K8" i="1"/>
  <c r="H8" i="1"/>
  <c r="D8" i="1"/>
  <c r="H7" i="1"/>
  <c r="D7" i="1"/>
  <c r="A7" i="1"/>
  <c r="A8" i="1" s="1"/>
  <c r="H6" i="1"/>
  <c r="D6" i="1"/>
  <c r="A6" i="1"/>
  <c r="H5" i="1"/>
  <c r="D5" i="1"/>
  <c r="L21" i="2" l="1"/>
  <c r="L20" i="2"/>
  <c r="I14" i="2"/>
  <c r="K20" i="2"/>
  <c r="T12" i="1"/>
  <c r="H24" i="1"/>
  <c r="K12" i="1"/>
  <c r="K13" i="1" s="1"/>
  <c r="K32" i="1"/>
  <c r="I20" i="2"/>
  <c r="J20" i="2" s="1"/>
  <c r="G7" i="2"/>
  <c r="T14" i="1"/>
  <c r="T13" i="1" s="1"/>
  <c r="K28" i="1"/>
  <c r="K37" i="1"/>
  <c r="L37" i="1"/>
  <c r="L14" i="1"/>
  <c r="L38" i="1"/>
  <c r="M38" i="1" s="1"/>
  <c r="K21" i="2"/>
  <c r="J37" i="1"/>
  <c r="I21" i="2"/>
  <c r="J21" i="2" s="1"/>
  <c r="H15" i="2" l="1"/>
  <c r="J6" i="2" s="1"/>
  <c r="L6" i="2" s="1"/>
  <c r="L19" i="2"/>
  <c r="K19" i="2"/>
  <c r="I19" i="2"/>
  <c r="J19" i="2" s="1"/>
  <c r="N38" i="1"/>
  <c r="K34" i="1"/>
  <c r="K33" i="1" s="1"/>
  <c r="G6" i="2"/>
  <c r="G8" i="2"/>
  <c r="L13" i="1"/>
  <c r="O17" i="1"/>
  <c r="M17" i="1"/>
  <c r="N17" i="1" s="1"/>
  <c r="P17" i="1"/>
  <c r="AC4" i="1"/>
  <c r="M18" i="1"/>
  <c r="N18" i="1" s="1"/>
  <c r="P18" i="1"/>
  <c r="O18" i="1"/>
  <c r="M37" i="1"/>
  <c r="N37" i="1" s="1"/>
  <c r="L32" i="1"/>
  <c r="P37" i="1"/>
  <c r="O37" i="1"/>
  <c r="Y17" i="1"/>
  <c r="V17" i="1"/>
  <c r="W17" i="1" s="1"/>
  <c r="X17" i="1"/>
  <c r="AD4" i="1"/>
  <c r="Y18" i="1"/>
  <c r="X18" i="1"/>
  <c r="V18" i="1"/>
  <c r="W18" i="1" s="1"/>
  <c r="J8" i="2" l="1"/>
  <c r="L8" i="2" s="1"/>
  <c r="J7" i="2"/>
  <c r="I15" i="2"/>
  <c r="G9" i="2" s="1"/>
  <c r="M32" i="1"/>
  <c r="K25" i="1"/>
  <c r="L33" i="1"/>
  <c r="P38" i="1"/>
  <c r="O38" i="1"/>
  <c r="V12" i="1"/>
  <c r="U13" i="1"/>
  <c r="T5" i="1"/>
  <c r="J14" i="2"/>
  <c r="K14" i="2" s="1"/>
  <c r="L14" i="2" s="1"/>
  <c r="M13" i="1"/>
  <c r="K7" i="1" s="1"/>
  <c r="N4" i="1"/>
  <c r="N5" i="1" s="1"/>
  <c r="N6" i="1"/>
  <c r="M12" i="1"/>
  <c r="K5" i="1"/>
  <c r="T4" i="1" l="1"/>
  <c r="T6" i="1"/>
  <c r="V13" i="1"/>
  <c r="T7" i="1" s="1"/>
  <c r="W6" i="1"/>
  <c r="W4" i="1"/>
  <c r="W5" i="1" s="1"/>
  <c r="W12" i="1"/>
  <c r="X12" i="1" s="1"/>
  <c r="Y12" i="1" s="1"/>
  <c r="M33" i="1"/>
  <c r="K27" i="1" s="1"/>
  <c r="N26" i="1"/>
  <c r="N24" i="1"/>
  <c r="N25" i="1" s="1"/>
  <c r="K6" i="1"/>
  <c r="K4" i="1"/>
  <c r="K26" i="1"/>
  <c r="K24" i="1"/>
  <c r="N12" i="1"/>
  <c r="O12" i="1" s="1"/>
  <c r="P12" i="1" s="1"/>
  <c r="N32" i="1" l="1"/>
  <c r="O32" i="1" s="1"/>
  <c r="P3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<sst xmlns="http://schemas.openxmlformats.org/spreadsheetml/2006/main" count="139" uniqueCount="51">
  <si>
    <t>Weighted Linear Regression</t>
  </si>
  <si>
    <t>Regression Analysis</t>
  </si>
  <si>
    <t>Prediction</t>
  </si>
  <si>
    <t>Company size ($ million)</t>
  </si>
  <si>
    <t>Wages ($ thousands)</t>
  </si>
  <si>
    <t>OVERALL FIT</t>
  </si>
  <si>
    <t>Size</t>
  </si>
  <si>
    <t>Wage1</t>
  </si>
  <si>
    <t>Wage2</t>
  </si>
  <si>
    <t>band</t>
  </si>
  <si>
    <t>lower</t>
  </si>
  <si>
    <t>upper</t>
  </si>
  <si>
    <t>Ln(mean)</t>
  </si>
  <si>
    <t>Mean</t>
  </si>
  <si>
    <t>Std Dev</t>
  </si>
  <si>
    <t>Weight</t>
  </si>
  <si>
    <t>Multiple R</t>
  </si>
  <si>
    <t>AIC</t>
  </si>
  <si>
    <t>R Square</t>
  </si>
  <si>
    <t>AICc</t>
  </si>
  <si>
    <t>Adjusted R Square</t>
  </si>
  <si>
    <t>BSC</t>
  </si>
  <si>
    <t>Standard Error</t>
  </si>
  <si>
    <t>Observations</t>
  </si>
  <si>
    <t>ANOVA</t>
  </si>
  <si>
    <t>Alpha</t>
  </si>
  <si>
    <t>df</t>
  </si>
  <si>
    <t>SS</t>
  </si>
  <si>
    <t>MS</t>
  </si>
  <si>
    <t>F</t>
  </si>
  <si>
    <t>p-value</t>
  </si>
  <si>
    <t>sig</t>
  </si>
  <si>
    <t>Regression</t>
  </si>
  <si>
    <t>Residual</t>
  </si>
  <si>
    <t>Total</t>
  </si>
  <si>
    <t>coeff</t>
  </si>
  <si>
    <t>std err</t>
  </si>
  <si>
    <t>t stat</t>
  </si>
  <si>
    <t>vif</t>
  </si>
  <si>
    <t>Intercept</t>
  </si>
  <si>
    <t>y/s</t>
  </si>
  <si>
    <t>1/s</t>
  </si>
  <si>
    <t>x/s</t>
  </si>
  <si>
    <t>Weighted Regression Tool</t>
  </si>
  <si>
    <t>Color</t>
  </si>
  <si>
    <t>Quality</t>
  </si>
  <si>
    <t>Price</t>
  </si>
  <si>
    <t>Real Statistics Using Excel</t>
  </si>
  <si>
    <t>Updated</t>
  </si>
  <si>
    <t>Copyright © 2013 - 2025 Charles Zaiontz</t>
  </si>
  <si>
    <t>WLS regression via OLS regression through the origin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</si>
</sst>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0" xfId="0" applyBorder="1" applyAlignment="1">
      <alignment horizontal="center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E2995-3840-4422-ACAE-A7C4E35291A9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47</v>
      </c>
    </row>
    <row r="2" spans="1:2" x14ac:dyDescent="0.35">
      <c r="A2" t="s">
        <v>50</v>
      </c>
    </row>
    <row r="4" spans="1:2" x14ac:dyDescent="0.35">
      <c r="A4" t="s">
        <v>48</v>
      </c>
      <c r="B4" s="22">
        <v>45944</v>
      </c>
    </row>
    <row r="6" spans="1:2" x14ac:dyDescent="0.35">
      <c r="A6" s="23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8D6D-2C15-4A16-84AE-7C105EC15DE2}">
  <dimension ref="A1:AD38"/>
  <sheetViews>
    <sheetView workbookViewId="0"/>
  </sheetViews>
  <sheetFormatPr defaultRowHeight="14.5" x14ac:dyDescent="0.35"/>
  <cols>
    <col min="1" max="1" width="6.54296875" customWidth="1"/>
    <col min="2" max="3" width="9" customWidth="1"/>
    <col min="4" max="4" width="11.453125" customWidth="1"/>
    <col min="5" max="5" width="3" customWidth="1"/>
    <col min="6" max="7" width="10" customWidth="1"/>
    <col min="8" max="8" width="11.453125" customWidth="1"/>
    <col min="9" max="9" width="9.1796875" customWidth="1"/>
    <col min="10" max="10" width="16.81640625" customWidth="1"/>
    <col min="19" max="19" width="18.1796875" customWidth="1"/>
  </cols>
  <sheetData>
    <row r="1" spans="1:30" x14ac:dyDescent="0.35">
      <c r="A1" s="1" t="s">
        <v>0</v>
      </c>
      <c r="J1" t="s">
        <v>1</v>
      </c>
      <c r="S1" t="s">
        <v>1</v>
      </c>
      <c r="AB1" t="s">
        <v>2</v>
      </c>
    </row>
    <row r="3" spans="1:30" ht="15" thickBot="1" x14ac:dyDescent="0.4">
      <c r="A3" s="2" t="s">
        <v>3</v>
      </c>
      <c r="B3" s="2"/>
      <c r="C3" s="2"/>
      <c r="D3" s="2"/>
      <c r="E3" s="3"/>
      <c r="F3" s="2" t="s">
        <v>4</v>
      </c>
      <c r="G3" s="2"/>
      <c r="H3" s="2"/>
      <c r="J3" s="4" t="s">
        <v>5</v>
      </c>
      <c r="K3" s="4"/>
      <c r="M3" s="4"/>
      <c r="N3" s="4"/>
      <c r="S3" s="4" t="s">
        <v>5</v>
      </c>
      <c r="T3" s="4"/>
      <c r="V3" s="4"/>
      <c r="W3" s="4"/>
      <c r="AB3" s="5" t="s">
        <v>6</v>
      </c>
      <c r="AC3" s="5" t="s">
        <v>7</v>
      </c>
      <c r="AD3" s="5" t="s">
        <v>8</v>
      </c>
    </row>
    <row r="4" spans="1:30" ht="15" thickTop="1" x14ac:dyDescent="0.35">
      <c r="A4" s="6" t="s">
        <v>9</v>
      </c>
      <c r="B4" s="7" t="s">
        <v>10</v>
      </c>
      <c r="C4" s="7" t="s">
        <v>11</v>
      </c>
      <c r="D4" s="8" t="s">
        <v>12</v>
      </c>
      <c r="E4" s="5"/>
      <c r="F4" s="6" t="s">
        <v>13</v>
      </c>
      <c r="G4" s="7" t="s">
        <v>14</v>
      </c>
      <c r="H4" s="8" t="s">
        <v>15</v>
      </c>
      <c r="J4" t="s">
        <v>16</v>
      </c>
      <c r="K4" t="e">
        <f ca="1">SQRT(K5)</f>
        <v>#NAME?</v>
      </c>
      <c r="M4" t="s">
        <v>17</v>
      </c>
      <c r="N4" t="e">
        <f ca="1">K8*LN(L13/K8)+2*K12</f>
        <v>#NAME?</v>
      </c>
      <c r="S4" t="s">
        <v>16</v>
      </c>
      <c r="T4" t="e">
        <f ca="1">SQRT(T5)</f>
        <v>#NAME?</v>
      </c>
      <c r="V4" t="s">
        <v>17</v>
      </c>
      <c r="W4" t="e">
        <f ca="1">T8*LN(U13/T8)+2*(T12+1)</f>
        <v>#NAME?</v>
      </c>
      <c r="AB4" s="9">
        <v>200</v>
      </c>
      <c r="AC4" s="10" t="e">
        <f ca="1">K17+K18*LN(AB4)</f>
        <v>#NAME?</v>
      </c>
      <c r="AD4" s="11" t="e">
        <f ca="1">T17+K18*LN(T18)</f>
        <v>#NAME?</v>
      </c>
    </row>
    <row r="5" spans="1:30" x14ac:dyDescent="0.35">
      <c r="A5" s="12">
        <v>1</v>
      </c>
      <c r="B5" s="13">
        <v>2</v>
      </c>
      <c r="C5" s="13">
        <v>25</v>
      </c>
      <c r="D5" s="14">
        <f>LN(AVERAGE(B5,C5))</f>
        <v>2.6026896854443837</v>
      </c>
      <c r="F5" s="15">
        <v>266.7</v>
      </c>
      <c r="G5">
        <v>60.5</v>
      </c>
      <c r="H5" s="16">
        <f>1/G5^2</f>
        <v>2.7320538214602825E-4</v>
      </c>
      <c r="J5" t="s">
        <v>18</v>
      </c>
      <c r="K5" t="e">
        <f ca="1">L12/L14</f>
        <v>#NAME?</v>
      </c>
      <c r="M5" t="s">
        <v>19</v>
      </c>
      <c r="N5" t="e">
        <f ca="1">N4+2*(K12+1)*(K12+2)/(K8-K12-2)</f>
        <v>#NAME?</v>
      </c>
      <c r="S5" t="s">
        <v>18</v>
      </c>
      <c r="T5" t="e">
        <f ca="1">U12/U14</f>
        <v>#NAME?</v>
      </c>
      <c r="V5" t="s">
        <v>19</v>
      </c>
      <c r="W5" t="e">
        <f ca="1">W4+2*(T12+2)*(T12+3)/(T8-T12-3)</f>
        <v>#NAME?</v>
      </c>
    </row>
    <row r="6" spans="1:30" x14ac:dyDescent="0.35">
      <c r="A6" s="15">
        <f>A5+1</f>
        <v>2</v>
      </c>
      <c r="B6">
        <v>25</v>
      </c>
      <c r="C6">
        <v>50</v>
      </c>
      <c r="D6" s="16">
        <f t="shared" ref="D6:D12" si="0">LN(AVERAGE(B6,C6))</f>
        <v>3.6243409329763652</v>
      </c>
      <c r="F6" s="15">
        <v>342.5</v>
      </c>
      <c r="G6">
        <v>68.3</v>
      </c>
      <c r="H6" s="16">
        <f t="shared" ref="H6:H12" si="1">1/G6^2</f>
        <v>2.1436732698948961E-4</v>
      </c>
      <c r="J6" t="s">
        <v>20</v>
      </c>
      <c r="K6" t="e">
        <f ca="1">1-(1-K5)*K8/(K8-K12)</f>
        <v>#NAME?</v>
      </c>
      <c r="M6" s="17" t="s">
        <v>21</v>
      </c>
      <c r="N6" s="17" t="e">
        <f ca="1">K8*LN(L13/K8)+K12*LN(K8)</f>
        <v>#NAME?</v>
      </c>
      <c r="S6" t="s">
        <v>20</v>
      </c>
      <c r="T6" t="e">
        <f ca="1">1-(1-T5)*(T8-1)/(T8-T12-1)</f>
        <v>#NAME?</v>
      </c>
      <c r="V6" s="17" t="s">
        <v>21</v>
      </c>
      <c r="W6" s="17" t="e">
        <f ca="1">T8*LN(U13/T8)+(T12+1)*LN(T8)</f>
        <v>#NAME?</v>
      </c>
    </row>
    <row r="7" spans="1:30" x14ac:dyDescent="0.35">
      <c r="A7" s="15">
        <f t="shared" ref="A7:A12" si="2">A6+1</f>
        <v>3</v>
      </c>
      <c r="B7">
        <v>50</v>
      </c>
      <c r="C7">
        <v>100</v>
      </c>
      <c r="D7" s="16">
        <f t="shared" si="0"/>
        <v>4.3174881135363101</v>
      </c>
      <c r="F7" s="15">
        <v>418.1</v>
      </c>
      <c r="G7">
        <v>81.400000000000006</v>
      </c>
      <c r="H7" s="16">
        <f t="shared" si="1"/>
        <v>1.5092152684290273E-4</v>
      </c>
      <c r="J7" t="s">
        <v>22</v>
      </c>
      <c r="K7" t="e">
        <f ca="1">SQRT(M13)</f>
        <v>#NAME?</v>
      </c>
      <c r="S7" t="s">
        <v>22</v>
      </c>
      <c r="T7" t="e">
        <f ca="1">SQRT(V13)</f>
        <v>#NAME?</v>
      </c>
    </row>
    <row r="8" spans="1:30" x14ac:dyDescent="0.35">
      <c r="A8" s="15">
        <f t="shared" si="2"/>
        <v>4</v>
      </c>
      <c r="B8">
        <v>100</v>
      </c>
      <c r="C8">
        <v>250</v>
      </c>
      <c r="D8" s="16">
        <f t="shared" si="0"/>
        <v>5.1647859739235145</v>
      </c>
      <c r="F8" s="15">
        <v>494.2</v>
      </c>
      <c r="G8">
        <v>98.8</v>
      </c>
      <c r="H8" s="16">
        <f t="shared" si="1"/>
        <v>1.0244390171941846E-4</v>
      </c>
      <c r="J8" s="17" t="s">
        <v>23</v>
      </c>
      <c r="K8" s="17">
        <f>COUNT(F5:F12)</f>
        <v>8</v>
      </c>
      <c r="S8" s="17" t="s">
        <v>23</v>
      </c>
      <c r="T8" s="17">
        <f>COUNT(F5:F12)</f>
        <v>8</v>
      </c>
    </row>
    <row r="9" spans="1:30" x14ac:dyDescent="0.35">
      <c r="A9" s="15">
        <f t="shared" si="2"/>
        <v>5</v>
      </c>
      <c r="B9">
        <v>250</v>
      </c>
      <c r="C9">
        <v>500</v>
      </c>
      <c r="D9" s="16">
        <f t="shared" si="0"/>
        <v>5.9269260259704106</v>
      </c>
      <c r="F9" s="15">
        <v>608.29999999999995</v>
      </c>
      <c r="G9">
        <v>110.6</v>
      </c>
      <c r="H9" s="16">
        <f t="shared" si="1"/>
        <v>8.1750373599207352E-5</v>
      </c>
    </row>
    <row r="10" spans="1:30" ht="15" thickBot="1" x14ac:dyDescent="0.4">
      <c r="A10" s="15">
        <f t="shared" si="2"/>
        <v>6</v>
      </c>
      <c r="B10">
        <v>500</v>
      </c>
      <c r="C10">
        <v>1000</v>
      </c>
      <c r="D10" s="16">
        <f t="shared" si="0"/>
        <v>6.620073206530356</v>
      </c>
      <c r="F10" s="15">
        <v>798.3</v>
      </c>
      <c r="G10">
        <v>145.6</v>
      </c>
      <c r="H10" s="16">
        <f t="shared" si="1"/>
        <v>4.7171235358048554E-5</v>
      </c>
      <c r="J10" t="s">
        <v>24</v>
      </c>
      <c r="N10" s="3" t="s">
        <v>25</v>
      </c>
      <c r="O10" s="3">
        <v>0.05</v>
      </c>
      <c r="S10" t="s">
        <v>24</v>
      </c>
      <c r="W10" s="3" t="s">
        <v>25</v>
      </c>
      <c r="X10" s="3">
        <v>0.05</v>
      </c>
    </row>
    <row r="11" spans="1:30" ht="15" thickTop="1" x14ac:dyDescent="0.35">
      <c r="A11" s="15">
        <f t="shared" si="2"/>
        <v>7</v>
      </c>
      <c r="B11">
        <v>1000</v>
      </c>
      <c r="C11">
        <v>5000</v>
      </c>
      <c r="D11" s="16">
        <f t="shared" si="0"/>
        <v>8.0063675676502459</v>
      </c>
      <c r="F11" s="15">
        <v>950.6</v>
      </c>
      <c r="G11">
        <v>173.1</v>
      </c>
      <c r="H11" s="16">
        <f t="shared" si="1"/>
        <v>3.3373815771864611E-5</v>
      </c>
      <c r="J11" s="18"/>
      <c r="K11" s="18" t="s">
        <v>26</v>
      </c>
      <c r="L11" s="18" t="s">
        <v>27</v>
      </c>
      <c r="M11" s="18" t="s">
        <v>28</v>
      </c>
      <c r="N11" s="18" t="s">
        <v>29</v>
      </c>
      <c r="O11" s="18" t="s">
        <v>30</v>
      </c>
      <c r="P11" s="18" t="s">
        <v>31</v>
      </c>
      <c r="S11" s="18"/>
      <c r="T11" s="18" t="s">
        <v>26</v>
      </c>
      <c r="U11" s="18" t="s">
        <v>27</v>
      </c>
      <c r="V11" s="18" t="s">
        <v>28</v>
      </c>
      <c r="W11" s="18" t="s">
        <v>29</v>
      </c>
      <c r="X11" s="18" t="s">
        <v>30</v>
      </c>
      <c r="Y11" s="18" t="s">
        <v>31</v>
      </c>
    </row>
    <row r="12" spans="1:30" x14ac:dyDescent="0.35">
      <c r="A12" s="19">
        <f t="shared" si="2"/>
        <v>8</v>
      </c>
      <c r="B12" s="17">
        <v>5000</v>
      </c>
      <c r="C12" s="17">
        <v>10000</v>
      </c>
      <c r="D12" s="20">
        <f t="shared" si="0"/>
        <v>8.9226582995244019</v>
      </c>
      <c r="F12" s="19">
        <v>1216.5</v>
      </c>
      <c r="G12" s="17">
        <v>238.3</v>
      </c>
      <c r="H12" s="20">
        <f t="shared" si="1"/>
        <v>1.7609698294800083E-5</v>
      </c>
      <c r="J12" t="s">
        <v>32</v>
      </c>
      <c r="K12">
        <f>COUNT(D5)+1</f>
        <v>2</v>
      </c>
      <c r="L12" t="e" cm="1">
        <f t="array" aca="1" ref="L12" ca="1">SUMPRODUCT(H5:H12,MMULT(DEsign(D5:D12),K17:K18)^2)</f>
        <v>#NAME?</v>
      </c>
      <c r="M12" t="e">
        <f ca="1">L12/K12</f>
        <v>#NAME?</v>
      </c>
      <c r="N12" t="e">
        <f ca="1">M12/M13</f>
        <v>#NAME?</v>
      </c>
      <c r="O12" t="e">
        <f ca="1">FDIST(N12,K12,K13)</f>
        <v>#NAME?</v>
      </c>
      <c r="P12" s="3" t="e">
        <f ca="1">IF(O12&lt;O10,"yes","no")</f>
        <v>#NAME?</v>
      </c>
      <c r="S12" t="s">
        <v>32</v>
      </c>
      <c r="T12">
        <f>COUNT(D5)</f>
        <v>1</v>
      </c>
      <c r="U12" t="e">
        <f ca="1">DEVSQ(MMULT(DEsign(D5:D12),T17:T18))</f>
        <v>#NAME?</v>
      </c>
      <c r="V12" t="e">
        <f ca="1">U12/T12</f>
        <v>#NAME?</v>
      </c>
      <c r="W12" t="e">
        <f ca="1">V12/V13</f>
        <v>#NAME?</v>
      </c>
      <c r="X12" t="e">
        <f ca="1">FDIST(W12,T12,T13)</f>
        <v>#NAME?</v>
      </c>
      <c r="Y12" s="3" t="e">
        <f ca="1">IF(X12&lt;X10,"yes","no")</f>
        <v>#NAME?</v>
      </c>
    </row>
    <row r="13" spans="1:30" x14ac:dyDescent="0.35">
      <c r="J13" t="s">
        <v>33</v>
      </c>
      <c r="K13">
        <f>K14-K12</f>
        <v>6</v>
      </c>
      <c r="L13" t="e">
        <f ca="1">L14-L12</f>
        <v>#NAME?</v>
      </c>
      <c r="M13" t="e">
        <f ca="1">L13/K13</f>
        <v>#NAME?</v>
      </c>
      <c r="S13" t="s">
        <v>33</v>
      </c>
      <c r="T13">
        <f>T14-T12</f>
        <v>6</v>
      </c>
      <c r="U13" t="e">
        <f ca="1">U14-U12</f>
        <v>#NAME?</v>
      </c>
      <c r="V13" t="e">
        <f ca="1">U13/T13</f>
        <v>#NAME?</v>
      </c>
    </row>
    <row r="14" spans="1:30" x14ac:dyDescent="0.35">
      <c r="J14" s="17" t="s">
        <v>34</v>
      </c>
      <c r="K14" s="17">
        <f>K8</f>
        <v>8</v>
      </c>
      <c r="L14" s="17">
        <f>SUMPRODUCT(F5:F12^2,H5:H12)</f>
        <v>212.51135317328385</v>
      </c>
      <c r="M14" s="17"/>
      <c r="N14" s="17"/>
      <c r="O14" s="17"/>
      <c r="P14" s="17"/>
      <c r="S14" s="17" t="s">
        <v>34</v>
      </c>
      <c r="T14" s="17">
        <f>T8-1</f>
        <v>7</v>
      </c>
      <c r="U14" s="17">
        <f>DEVSQ(F5:F12)</f>
        <v>753167.90000000014</v>
      </c>
      <c r="V14" s="17"/>
      <c r="W14" s="17"/>
      <c r="X14" s="17"/>
      <c r="Y14" s="17"/>
    </row>
    <row r="15" spans="1:30" ht="15" thickBot="1" x14ac:dyDescent="0.4"/>
    <row r="16" spans="1:30" ht="15" thickTop="1" x14ac:dyDescent="0.35">
      <c r="J16" s="18"/>
      <c r="K16" s="18" t="s">
        <v>35</v>
      </c>
      <c r="L16" s="18" t="s">
        <v>36</v>
      </c>
      <c r="M16" s="18" t="s">
        <v>37</v>
      </c>
      <c r="N16" s="18" t="s">
        <v>30</v>
      </c>
      <c r="O16" s="18" t="s">
        <v>10</v>
      </c>
      <c r="P16" s="18" t="s">
        <v>11</v>
      </c>
      <c r="Q16" s="18" t="s">
        <v>38</v>
      </c>
      <c r="S16" s="18"/>
      <c r="T16" s="18" t="s">
        <v>35</v>
      </c>
      <c r="U16" s="18" t="s">
        <v>36</v>
      </c>
      <c r="V16" s="18" t="s">
        <v>37</v>
      </c>
      <c r="W16" s="18" t="s">
        <v>30</v>
      </c>
      <c r="X16" s="18" t="s">
        <v>10</v>
      </c>
      <c r="Y16" s="18" t="s">
        <v>11</v>
      </c>
      <c r="Z16" s="18" t="s">
        <v>38</v>
      </c>
    </row>
    <row r="17" spans="5:26" x14ac:dyDescent="0.35">
      <c r="J17" t="str">
        <f>H4</f>
        <v>Weight</v>
      </c>
      <c r="K17" t="e">
        <f t="array" aca="1" ref="K17:L18" ca="1">WRegCoeff(D5:D12,F5:F12,H5:H12)</f>
        <v>#NAME?</v>
      </c>
      <c r="L17" t="e">
        <f ca="1"/>
        <v>#NAME?</v>
      </c>
      <c r="M17" t="e">
        <f ca="1">K17/L17</f>
        <v>#NAME?</v>
      </c>
      <c r="N17" t="e">
        <f ca="1">TDIST(ABS(M17),$K$13,2)</f>
        <v>#NAME?</v>
      </c>
      <c r="O17" t="e">
        <f ca="1">K17-TINV(O$10,$K$13)*L17</f>
        <v>#NAME?</v>
      </c>
      <c r="P17" t="e">
        <f ca="1">K17+TINV(O$10,$K$13)*L17</f>
        <v>#NAME?</v>
      </c>
      <c r="Q17" t="e">
        <f t="array" aca="1" ref="Q17" ca="1">VIF(MERGE(SQRT(H5:H12),SQRT(H5:H12)*D5:D12),1)</f>
        <v>#NAME?</v>
      </c>
      <c r="S17" t="s">
        <v>39</v>
      </c>
      <c r="T17" t="e">
        <f t="array" aca="1" ref="T17:U18" ca="1">RegCoeff(D5:D12,F5:F12)</f>
        <v>#NAME?</v>
      </c>
      <c r="U17" t="e">
        <f ca="1"/>
        <v>#NAME?</v>
      </c>
      <c r="V17" t="e">
        <f ca="1">T17/U17</f>
        <v>#NAME?</v>
      </c>
      <c r="W17" t="e">
        <f ca="1">TDIST(ABS(V17),$T$13,2)</f>
        <v>#NAME?</v>
      </c>
      <c r="X17" t="e">
        <f ca="1">T17-TINV(X$10,$T$13)*U17</f>
        <v>#NAME?</v>
      </c>
      <c r="Y17" t="e">
        <f ca="1">T17+TINV(X$10,$T$13)*U17</f>
        <v>#NAME?</v>
      </c>
    </row>
    <row r="18" spans="5:26" x14ac:dyDescent="0.35">
      <c r="J18" s="17" t="str">
        <f t="array" ref="J18">TRANSPOSE(D4)</f>
        <v>Ln(mean)</v>
      </c>
      <c r="K18" s="17" t="e">
        <f ca="1"/>
        <v>#NAME?</v>
      </c>
      <c r="L18" s="17" t="e">
        <f ca="1"/>
        <v>#NAME?</v>
      </c>
      <c r="M18" s="17" t="e">
        <f ca="1">K18/L18</f>
        <v>#NAME?</v>
      </c>
      <c r="N18" s="17" t="e">
        <f ca="1">TDIST(ABS(M18),$K$13,2)</f>
        <v>#NAME?</v>
      </c>
      <c r="O18" s="17" t="e">
        <f ca="1">K18-TINV(O$10,$K$13)*L18</f>
        <v>#NAME?</v>
      </c>
      <c r="P18" s="17" t="e">
        <f ca="1">K18+TINV(O$10,$K$13)*L18</f>
        <v>#NAME?</v>
      </c>
      <c r="Q18" s="17" t="e">
        <f t="array" aca="1" ref="Q18" ca="1">VIF(MERGE(SQRT(H5:H12),SQRT(H5:H12)*D5:D12),2)</f>
        <v>#NAME?</v>
      </c>
      <c r="S18" s="17" t="str">
        <f t="array" ref="S18">TRANSPOSE(D4)</f>
        <v>Ln(mean)</v>
      </c>
      <c r="T18" s="17" t="e">
        <f ca="1"/>
        <v>#NAME?</v>
      </c>
      <c r="U18" s="17" t="e">
        <f ca="1"/>
        <v>#NAME?</v>
      </c>
      <c r="V18" s="17" t="e">
        <f ca="1">T18/U18</f>
        <v>#NAME?</v>
      </c>
      <c r="W18" s="17" t="e">
        <f ca="1">TDIST(ABS(V18),$T$13,2)</f>
        <v>#NAME?</v>
      </c>
      <c r="X18" s="17" t="e">
        <f ca="1">T18-TINV(X$10,$T$13)*U18</f>
        <v>#NAME?</v>
      </c>
      <c r="Y18" s="17" t="e">
        <f ca="1">T18+TINV(X$10,$T$13)*U18</f>
        <v>#NAME?</v>
      </c>
      <c r="Z18" s="17" t="e">
        <f ca="1">VIF(D5:D12,1)</f>
        <v>#NAME?</v>
      </c>
    </row>
    <row r="21" spans="5:26" x14ac:dyDescent="0.35">
      <c r="J21" t="s">
        <v>1</v>
      </c>
    </row>
    <row r="23" spans="5:26" ht="15" thickBot="1" x14ac:dyDescent="0.4">
      <c r="F23" s="3" t="s">
        <v>40</v>
      </c>
      <c r="G23" s="3" t="s">
        <v>41</v>
      </c>
      <c r="H23" s="3" t="s">
        <v>42</v>
      </c>
      <c r="J23" s="4" t="s">
        <v>5</v>
      </c>
      <c r="K23" s="4"/>
      <c r="M23" s="4"/>
      <c r="N23" s="4"/>
    </row>
    <row r="24" spans="5:26" ht="15" thickTop="1" x14ac:dyDescent="0.35">
      <c r="E24">
        <v>1</v>
      </c>
      <c r="F24" s="12">
        <f>F5/G5</f>
        <v>4.4082644628099175</v>
      </c>
      <c r="G24" s="13">
        <f t="shared" ref="G24:G31" si="3">1/G5</f>
        <v>1.6528925619834711E-2</v>
      </c>
      <c r="H24" s="14">
        <f t="shared" ref="H24:H31" si="4">D5/G5</f>
        <v>4.301966422222122E-2</v>
      </c>
      <c r="J24" t="s">
        <v>16</v>
      </c>
      <c r="K24" t="e">
        <f ca="1">SQRT(K25)</f>
        <v>#NAME?</v>
      </c>
      <c r="M24" t="s">
        <v>17</v>
      </c>
      <c r="N24" t="e">
        <f ca="1">K28*LN(L33/K28)+2*K32</f>
        <v>#NAME?</v>
      </c>
    </row>
    <row r="25" spans="5:26" x14ac:dyDescent="0.35">
      <c r="E25">
        <f>E24+1</f>
        <v>2</v>
      </c>
      <c r="F25" s="15">
        <f t="shared" ref="F25:F31" si="5">F6/G6</f>
        <v>5.0146412884333822</v>
      </c>
      <c r="G25">
        <f t="shared" si="3"/>
        <v>1.4641288433382138E-2</v>
      </c>
      <c r="H25" s="16">
        <f t="shared" si="4"/>
        <v>5.3065020980620284E-2</v>
      </c>
      <c r="J25" t="s">
        <v>18</v>
      </c>
      <c r="K25" t="e">
        <f ca="1">L32/L34</f>
        <v>#NAME?</v>
      </c>
      <c r="M25" t="s">
        <v>19</v>
      </c>
      <c r="N25" t="e">
        <f ca="1">N24+2*(K32+1)*(K32+2)/(K28-K32-2)</f>
        <v>#NAME?</v>
      </c>
    </row>
    <row r="26" spans="5:26" x14ac:dyDescent="0.35">
      <c r="E26">
        <f t="shared" ref="E26:E31" si="6">E25+1</f>
        <v>3</v>
      </c>
      <c r="F26" s="15">
        <f t="shared" si="5"/>
        <v>5.1363636363636367</v>
      </c>
      <c r="G26">
        <f t="shared" si="3"/>
        <v>1.2285012285012284E-2</v>
      </c>
      <c r="H26" s="16">
        <f t="shared" si="4"/>
        <v>5.3040394515188084E-2</v>
      </c>
      <c r="J26" t="s">
        <v>20</v>
      </c>
      <c r="K26" t="e">
        <f ca="1">1-(1-K25)*K28/(K28+K32)</f>
        <v>#NAME?</v>
      </c>
      <c r="M26" s="17" t="s">
        <v>21</v>
      </c>
      <c r="N26" s="17" t="e">
        <f ca="1">K28*LN(L33/K28)+K32*LN(K28)</f>
        <v>#NAME?</v>
      </c>
    </row>
    <row r="27" spans="5:26" x14ac:dyDescent="0.35">
      <c r="E27">
        <f t="shared" si="6"/>
        <v>4</v>
      </c>
      <c r="F27" s="15">
        <f t="shared" si="5"/>
        <v>5.0020242914979756</v>
      </c>
      <c r="G27">
        <f t="shared" si="3"/>
        <v>1.0121457489878543E-2</v>
      </c>
      <c r="H27" s="16">
        <f t="shared" si="4"/>
        <v>5.2275161679387797E-2</v>
      </c>
      <c r="J27" t="s">
        <v>22</v>
      </c>
      <c r="K27" t="e">
        <f ca="1">SQRT(M33)</f>
        <v>#NAME?</v>
      </c>
    </row>
    <row r="28" spans="5:26" x14ac:dyDescent="0.35">
      <c r="E28">
        <f t="shared" si="6"/>
        <v>5</v>
      </c>
      <c r="F28" s="15">
        <f t="shared" si="5"/>
        <v>5.5</v>
      </c>
      <c r="G28">
        <f t="shared" si="3"/>
        <v>9.0415913200723331E-3</v>
      </c>
      <c r="H28" s="16">
        <f t="shared" si="4"/>
        <v>5.3588842911124875E-2</v>
      </c>
      <c r="J28" s="17" t="s">
        <v>23</v>
      </c>
      <c r="K28" s="17">
        <f>COUNT(F24:F31)</f>
        <v>8</v>
      </c>
    </row>
    <row r="29" spans="5:26" x14ac:dyDescent="0.35">
      <c r="E29">
        <f t="shared" si="6"/>
        <v>6</v>
      </c>
      <c r="F29" s="15">
        <f t="shared" si="5"/>
        <v>5.4828296703296706</v>
      </c>
      <c r="G29">
        <f t="shared" si="3"/>
        <v>6.868131868131868E-3</v>
      </c>
      <c r="H29" s="16">
        <f t="shared" si="4"/>
        <v>4.5467535759137062E-2</v>
      </c>
    </row>
    <row r="30" spans="5:26" ht="15" thickBot="1" x14ac:dyDescent="0.4">
      <c r="E30">
        <f t="shared" si="6"/>
        <v>7</v>
      </c>
      <c r="F30" s="15">
        <f t="shared" si="5"/>
        <v>5.4916233391103413</v>
      </c>
      <c r="G30">
        <f t="shared" si="3"/>
        <v>5.7770075101097633E-3</v>
      </c>
      <c r="H30" s="16">
        <f t="shared" si="4"/>
        <v>4.6252845567014707E-2</v>
      </c>
      <c r="J30" t="s">
        <v>24</v>
      </c>
      <c r="N30" s="3" t="s">
        <v>25</v>
      </c>
      <c r="O30" s="3">
        <v>0.05</v>
      </c>
    </row>
    <row r="31" spans="5:26" ht="15" thickTop="1" x14ac:dyDescent="0.35">
      <c r="E31">
        <f t="shared" si="6"/>
        <v>8</v>
      </c>
      <c r="F31" s="19">
        <f t="shared" si="5"/>
        <v>5.1049097775912715</v>
      </c>
      <c r="G31" s="17">
        <f t="shared" si="3"/>
        <v>4.1963911036508603E-3</v>
      </c>
      <c r="H31" s="20">
        <f t="shared" si="4"/>
        <v>3.7442963909040713E-2</v>
      </c>
      <c r="J31" s="18"/>
      <c r="K31" s="18" t="s">
        <v>26</v>
      </c>
      <c r="L31" s="18" t="s">
        <v>27</v>
      </c>
      <c r="M31" s="18" t="s">
        <v>28</v>
      </c>
      <c r="N31" s="18" t="s">
        <v>29</v>
      </c>
      <c r="O31" s="18" t="s">
        <v>30</v>
      </c>
      <c r="P31" s="18" t="s">
        <v>31</v>
      </c>
    </row>
    <row r="32" spans="5:26" x14ac:dyDescent="0.35">
      <c r="J32" t="s">
        <v>32</v>
      </c>
      <c r="K32">
        <f>COUNT(G24:H24)</f>
        <v>2</v>
      </c>
      <c r="L32" t="e">
        <f ca="1">SUMSQ(MMULT(G24:H31,K37:K38))</f>
        <v>#NAME?</v>
      </c>
      <c r="M32" t="e">
        <f ca="1">L32/K32</f>
        <v>#NAME?</v>
      </c>
      <c r="N32" t="e">
        <f ca="1">M32/M33</f>
        <v>#NAME?</v>
      </c>
      <c r="O32" t="e">
        <f ca="1">FDIST(N32,K32,K33)</f>
        <v>#NAME?</v>
      </c>
      <c r="P32" s="3" t="e">
        <f ca="1">IF(O32&lt;O30,"yes","no")</f>
        <v>#NAME?</v>
      </c>
    </row>
    <row r="33" spans="10:17" x14ac:dyDescent="0.35">
      <c r="J33" t="s">
        <v>33</v>
      </c>
      <c r="K33">
        <f>K34-K32</f>
        <v>6</v>
      </c>
      <c r="L33" t="e">
        <f ca="1">L34-L32</f>
        <v>#NAME?</v>
      </c>
      <c r="M33" t="e">
        <f ca="1">L33/K33</f>
        <v>#NAME?</v>
      </c>
    </row>
    <row r="34" spans="10:17" x14ac:dyDescent="0.35">
      <c r="J34" s="17" t="s">
        <v>34</v>
      </c>
      <c r="K34" s="17">
        <f>K28</f>
        <v>8</v>
      </c>
      <c r="L34" s="17">
        <f>SUMSQ(F24:F31)</f>
        <v>212.51135317328385</v>
      </c>
      <c r="M34" s="17"/>
      <c r="N34" s="17"/>
      <c r="O34" s="17"/>
      <c r="P34" s="17"/>
    </row>
    <row r="35" spans="10:17" ht="15" thickBot="1" x14ac:dyDescent="0.4"/>
    <row r="36" spans="10:17" ht="15" thickTop="1" x14ac:dyDescent="0.35">
      <c r="J36" s="18"/>
      <c r="K36" s="18" t="s">
        <v>35</v>
      </c>
      <c r="L36" s="18" t="s">
        <v>36</v>
      </c>
      <c r="M36" s="18" t="s">
        <v>37</v>
      </c>
      <c r="N36" s="18" t="s">
        <v>30</v>
      </c>
      <c r="O36" s="18" t="s">
        <v>10</v>
      </c>
      <c r="P36" s="18" t="s">
        <v>11</v>
      </c>
      <c r="Q36" s="18" t="s">
        <v>38</v>
      </c>
    </row>
    <row r="37" spans="10:17" x14ac:dyDescent="0.35">
      <c r="J37" t="str">
        <f t="array" ref="J37:J38">TRANSPOSE(G23:H23)</f>
        <v>1/s</v>
      </c>
      <c r="K37" t="e">
        <f t="array" aca="1" ref="K37:L38" ca="1">Reg0Coeff(G24:H31,F24:F31)</f>
        <v>#NAME?</v>
      </c>
      <c r="L37" t="e">
        <f ca="1"/>
        <v>#NAME?</v>
      </c>
      <c r="M37" t="e">
        <f ca="1">K37/L37</f>
        <v>#NAME?</v>
      </c>
      <c r="N37" t="e">
        <f ca="1">TDIST(ABS(M37),$K$33,2)</f>
        <v>#NAME?</v>
      </c>
      <c r="O37" t="e">
        <f ca="1">K37-TINV(O$30,$K$33)*L37</f>
        <v>#NAME?</v>
      </c>
      <c r="P37" t="e">
        <f ca="1">K37+TINV(O$30,$K$33)*L37</f>
        <v>#NAME?</v>
      </c>
      <c r="Q37" t="e">
        <f ca="1">VIF(G24:H31,1)</f>
        <v>#NAME?</v>
      </c>
    </row>
    <row r="38" spans="10:17" x14ac:dyDescent="0.35">
      <c r="J38" s="17" t="str">
        <v>x/s</v>
      </c>
      <c r="K38" s="17" t="e">
        <f ca="1"/>
        <v>#NAME?</v>
      </c>
      <c r="L38" s="17" t="e">
        <f ca="1"/>
        <v>#NAME?</v>
      </c>
      <c r="M38" s="17" t="e">
        <f ca="1">K38/L38</f>
        <v>#NAME?</v>
      </c>
      <c r="N38" s="17" t="e">
        <f ca="1">TDIST(ABS(M38),$K$33,2)</f>
        <v>#NAME?</v>
      </c>
      <c r="O38" s="17" t="e">
        <f ca="1">K38-TINV(O$30,$K$33)*L38</f>
        <v>#NAME?</v>
      </c>
      <c r="P38" s="17" t="e">
        <f ca="1">K38+TINV(O$30,$K$33)*L38</f>
        <v>#NAME?</v>
      </c>
      <c r="Q38" s="17" t="e">
        <f ca="1">VIF(G24:H31,2)</f>
        <v>#NAME?</v>
      </c>
    </row>
  </sheetData>
  <mergeCells count="2">
    <mergeCell ref="A3:D3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35CB5-D443-4905-8C57-A73A30217D04}">
  <dimension ref="A1:M21"/>
  <sheetViews>
    <sheetView workbookViewId="0"/>
  </sheetViews>
  <sheetFormatPr defaultRowHeight="14.5" x14ac:dyDescent="0.35"/>
  <cols>
    <col min="1" max="3" width="7.453125" customWidth="1"/>
    <col min="6" max="6" width="17.54296875" customWidth="1"/>
  </cols>
  <sheetData>
    <row r="1" spans="1:12" x14ac:dyDescent="0.35">
      <c r="A1" s="1" t="s">
        <v>43</v>
      </c>
    </row>
    <row r="3" spans="1:12" x14ac:dyDescent="0.35">
      <c r="A3" s="7" t="s">
        <v>44</v>
      </c>
      <c r="B3" s="7" t="s">
        <v>45</v>
      </c>
      <c r="C3" s="7" t="s">
        <v>46</v>
      </c>
      <c r="D3" s="7" t="s">
        <v>15</v>
      </c>
      <c r="E3" s="3"/>
      <c r="F3" t="s">
        <v>1</v>
      </c>
    </row>
    <row r="4" spans="1:12" x14ac:dyDescent="0.35">
      <c r="A4" s="3">
        <v>7</v>
      </c>
      <c r="B4" s="3">
        <v>5</v>
      </c>
      <c r="C4" s="3">
        <v>65</v>
      </c>
      <c r="D4" s="3">
        <v>1</v>
      </c>
      <c r="E4" s="3"/>
    </row>
    <row r="5" spans="1:12" ht="15" thickBot="1" x14ac:dyDescent="0.4">
      <c r="A5" s="3">
        <v>3</v>
      </c>
      <c r="B5" s="3">
        <v>7</v>
      </c>
      <c r="C5" s="3">
        <v>38</v>
      </c>
      <c r="D5" s="3">
        <v>2</v>
      </c>
      <c r="E5" s="3"/>
      <c r="F5" s="4" t="s">
        <v>5</v>
      </c>
      <c r="G5" s="4"/>
      <c r="I5" s="4"/>
      <c r="J5" s="4"/>
    </row>
    <row r="6" spans="1:12" ht="15" thickTop="1" x14ac:dyDescent="0.35">
      <c r="A6" s="3">
        <v>5</v>
      </c>
      <c r="B6" s="3">
        <v>8</v>
      </c>
      <c r="C6" s="3">
        <v>51</v>
      </c>
      <c r="D6" s="3">
        <v>2</v>
      </c>
      <c r="E6" s="3"/>
      <c r="F6" t="s">
        <v>16</v>
      </c>
      <c r="G6" t="e">
        <f ca="1">SQRT(G7)</f>
        <v>#NAME?</v>
      </c>
      <c r="I6" t="s">
        <v>17</v>
      </c>
      <c r="J6" t="e">
        <f ca="1">G10*LN(H15/G10)+2*G14</f>
        <v>#NAME?</v>
      </c>
      <c r="K6">
        <f>G10*(1+LN(2*PI()))</f>
        <v>31.2166477305028</v>
      </c>
      <c r="L6" t="e">
        <f ca="1">J6+K6</f>
        <v>#NAME?</v>
      </c>
    </row>
    <row r="7" spans="1:12" x14ac:dyDescent="0.35">
      <c r="A7" s="3">
        <v>8</v>
      </c>
      <c r="B7" s="3">
        <v>1</v>
      </c>
      <c r="C7" s="3">
        <v>38</v>
      </c>
      <c r="D7" s="3">
        <v>1</v>
      </c>
      <c r="E7" s="3"/>
      <c r="F7" t="s">
        <v>18</v>
      </c>
      <c r="G7" t="e">
        <f ca="1">H14/H16</f>
        <v>#NAME?</v>
      </c>
      <c r="I7" t="s">
        <v>19</v>
      </c>
      <c r="J7" t="e">
        <f ca="1">J6+2*(G14+1)*(G14+2)/(G10-G14-2)</f>
        <v>#NAME?</v>
      </c>
    </row>
    <row r="8" spans="1:12" x14ac:dyDescent="0.35">
      <c r="A8" s="3">
        <v>9</v>
      </c>
      <c r="B8" s="3">
        <v>3</v>
      </c>
      <c r="C8" s="3">
        <v>55</v>
      </c>
      <c r="D8" s="3">
        <v>1</v>
      </c>
      <c r="E8" s="3"/>
      <c r="F8" t="s">
        <v>20</v>
      </c>
      <c r="G8" t="e">
        <f ca="1">1-(1-G7)*G10/(G10-G14)</f>
        <v>#NAME?</v>
      </c>
      <c r="I8" s="17" t="s">
        <v>21</v>
      </c>
      <c r="J8" s="17" t="e">
        <f ca="1">G10*LN(H15/G10)+G14*LN(G10)</f>
        <v>#NAME?</v>
      </c>
      <c r="K8">
        <f>K6</f>
        <v>31.2166477305028</v>
      </c>
      <c r="L8" t="e">
        <f ca="1">J8+K8</f>
        <v>#NAME?</v>
      </c>
    </row>
    <row r="9" spans="1:12" x14ac:dyDescent="0.35">
      <c r="A9" s="3">
        <v>5</v>
      </c>
      <c r="B9" s="3">
        <v>4</v>
      </c>
      <c r="C9" s="3">
        <v>43</v>
      </c>
      <c r="D9" s="3">
        <v>1</v>
      </c>
      <c r="E9" s="3"/>
      <c r="F9" t="s">
        <v>22</v>
      </c>
      <c r="G9" t="e">
        <f ca="1">SQRT(I15)</f>
        <v>#NAME?</v>
      </c>
    </row>
    <row r="10" spans="1:12" x14ac:dyDescent="0.35">
      <c r="A10" s="3">
        <v>4</v>
      </c>
      <c r="B10" s="3">
        <v>0</v>
      </c>
      <c r="C10" s="3">
        <v>25</v>
      </c>
      <c r="D10" s="3">
        <v>1</v>
      </c>
      <c r="E10" s="3"/>
      <c r="F10" s="17" t="s">
        <v>23</v>
      </c>
      <c r="G10" s="17">
        <f>COUNT(C4:C14)</f>
        <v>11</v>
      </c>
    </row>
    <row r="11" spans="1:12" x14ac:dyDescent="0.35">
      <c r="A11" s="3">
        <v>2</v>
      </c>
      <c r="B11" s="3">
        <v>6</v>
      </c>
      <c r="C11" s="3">
        <v>33</v>
      </c>
      <c r="D11" s="3">
        <v>3</v>
      </c>
      <c r="E11" s="3"/>
    </row>
    <row r="12" spans="1:12" ht="15" thickBot="1" x14ac:dyDescent="0.4">
      <c r="A12" s="3">
        <v>8</v>
      </c>
      <c r="B12" s="3">
        <v>7</v>
      </c>
      <c r="C12" s="3">
        <v>71</v>
      </c>
      <c r="D12" s="3">
        <v>1</v>
      </c>
      <c r="E12" s="3"/>
      <c r="F12" t="s">
        <v>24</v>
      </c>
      <c r="J12" s="3" t="s">
        <v>25</v>
      </c>
      <c r="K12" s="3">
        <v>0.05</v>
      </c>
    </row>
    <row r="13" spans="1:12" ht="15" thickTop="1" x14ac:dyDescent="0.35">
      <c r="A13" s="3">
        <v>6</v>
      </c>
      <c r="B13" s="3">
        <v>4</v>
      </c>
      <c r="C13" s="3">
        <v>51</v>
      </c>
      <c r="D13" s="3">
        <v>1</v>
      </c>
      <c r="E13" s="3"/>
      <c r="F13" s="18"/>
      <c r="G13" s="18" t="s">
        <v>26</v>
      </c>
      <c r="H13" s="18" t="s">
        <v>27</v>
      </c>
      <c r="I13" s="18" t="s">
        <v>28</v>
      </c>
      <c r="J13" s="18" t="s">
        <v>29</v>
      </c>
      <c r="K13" s="18" t="s">
        <v>30</v>
      </c>
      <c r="L13" s="18" t="s">
        <v>31</v>
      </c>
    </row>
    <row r="14" spans="1:12" x14ac:dyDescent="0.35">
      <c r="A14" s="21">
        <v>9</v>
      </c>
      <c r="B14" s="21">
        <v>2</v>
      </c>
      <c r="C14" s="21">
        <v>49</v>
      </c>
      <c r="D14" s="21">
        <v>1</v>
      </c>
      <c r="E14" s="3"/>
      <c r="F14" t="s">
        <v>32</v>
      </c>
      <c r="G14">
        <f>COUNT(A4:B4)+1</f>
        <v>3</v>
      </c>
      <c r="H14" t="e" cm="1">
        <f t="array" aca="1" ref="H14" ca="1">SUMPRODUCT(D4:D14,MMULT(DEsign(A4:B14),G19:G21)^2)</f>
        <v>#NAME?</v>
      </c>
      <c r="I14" t="e">
        <f ca="1">H14/G14</f>
        <v>#NAME?</v>
      </c>
      <c r="J14" t="e">
        <f ca="1">I14/I15</f>
        <v>#NAME?</v>
      </c>
      <c r="K14" t="e">
        <f ca="1">FDIST(J14,G14,G15)</f>
        <v>#NAME?</v>
      </c>
      <c r="L14" s="3" t="e">
        <f ca="1">IF(K14&lt;K12,"yes","no")</f>
        <v>#NAME?</v>
      </c>
    </row>
    <row r="15" spans="1:12" x14ac:dyDescent="0.35">
      <c r="A15" s="3"/>
      <c r="B15" s="3"/>
      <c r="C15" s="3"/>
      <c r="F15" t="s">
        <v>33</v>
      </c>
      <c r="G15">
        <f>G16-G14</f>
        <v>8</v>
      </c>
      <c r="H15" t="e">
        <f ca="1">H16-H14</f>
        <v>#NAME?</v>
      </c>
      <c r="I15" t="e">
        <f ca="1">H15/G15</f>
        <v>#NAME?</v>
      </c>
    </row>
    <row r="16" spans="1:12" x14ac:dyDescent="0.35">
      <c r="A16" s="3"/>
      <c r="B16" s="3"/>
      <c r="C16" s="3"/>
      <c r="F16" s="17" t="s">
        <v>34</v>
      </c>
      <c r="G16" s="17">
        <f>G10</f>
        <v>11</v>
      </c>
      <c r="H16" s="17">
        <f>SUMPRODUCT(C4:C14^2,D4:D14)</f>
        <v>32568</v>
      </c>
      <c r="I16" s="17"/>
      <c r="J16" s="17"/>
      <c r="K16" s="17"/>
      <c r="L16" s="17"/>
    </row>
    <row r="17" spans="1:13" ht="15" thickBot="1" x14ac:dyDescent="0.4">
      <c r="A17" s="3"/>
      <c r="B17" s="3"/>
      <c r="C17" s="3"/>
    </row>
    <row r="18" spans="1:13" ht="15" thickTop="1" x14ac:dyDescent="0.35">
      <c r="F18" s="18"/>
      <c r="G18" s="18" t="s">
        <v>35</v>
      </c>
      <c r="H18" s="18" t="s">
        <v>36</v>
      </c>
      <c r="I18" s="18" t="s">
        <v>37</v>
      </c>
      <c r="J18" s="18" t="s">
        <v>30</v>
      </c>
      <c r="K18" s="18" t="s">
        <v>10</v>
      </c>
      <c r="L18" s="18" t="s">
        <v>11</v>
      </c>
      <c r="M18" s="18" t="s">
        <v>38</v>
      </c>
    </row>
    <row r="19" spans="1:13" x14ac:dyDescent="0.35">
      <c r="F19" t="str">
        <f>D3</f>
        <v>Weight</v>
      </c>
      <c r="G19" t="e">
        <f t="array" aca="1" ref="G19:H21" ca="1">WRegCoeff(A4:B14,C4:C14,D4:D14)</f>
        <v>#NAME?</v>
      </c>
      <c r="H19" t="e">
        <f ca="1"/>
        <v>#NAME?</v>
      </c>
      <c r="I19" t="e">
        <f ca="1">G19/H19</f>
        <v>#NAME?</v>
      </c>
      <c r="J19" t="e">
        <f ca="1">TDIST(ABS(I19),$G$15,2)</f>
        <v>#NAME?</v>
      </c>
      <c r="K19" t="e">
        <f ca="1">G19-TINV(K$12,$G$15)*H19</f>
        <v>#NAME?</v>
      </c>
      <c r="L19" t="e">
        <f ca="1">G19+TINV(K$12,$G$15)*H19</f>
        <v>#NAME?</v>
      </c>
      <c r="M19" t="e">
        <f t="array" aca="1" ref="M19" ca="1">VIF(MERGE(SQRT(D4:D14),SQRT(D4:D14)*A4:B14),1)</f>
        <v>#NAME?</v>
      </c>
    </row>
    <row r="20" spans="1:13" x14ac:dyDescent="0.35">
      <c r="F20" t="str">
        <f t="array" ref="F20:F21">TRANSPOSE(A3:B3)</f>
        <v>Color</v>
      </c>
      <c r="G20" t="e">
        <f ca="1"/>
        <v>#NAME?</v>
      </c>
      <c r="H20" t="e">
        <f ca="1"/>
        <v>#NAME?</v>
      </c>
      <c r="I20" t="e">
        <f ca="1">G20/H20</f>
        <v>#NAME?</v>
      </c>
      <c r="J20" t="e">
        <f ca="1">TDIST(ABS(I20),$G$15,2)</f>
        <v>#NAME?</v>
      </c>
      <c r="K20" t="e">
        <f ca="1">G20-TINV(K$12,$G$15)*H20</f>
        <v>#NAME?</v>
      </c>
      <c r="L20" t="e">
        <f ca="1">G20+TINV(K$12,$G$15)*H20</f>
        <v>#NAME?</v>
      </c>
      <c r="M20" t="e">
        <f t="array" aca="1" ref="M20" ca="1">VIF(MERGE(SQRT(D4:D14),SQRT(D4:D14)*A4:B14),2)</f>
        <v>#NAME?</v>
      </c>
    </row>
    <row r="21" spans="1:13" x14ac:dyDescent="0.35">
      <c r="F21" s="17" t="str">
        <v>Quality</v>
      </c>
      <c r="G21" s="17" t="e">
        <f ca="1"/>
        <v>#NAME?</v>
      </c>
      <c r="H21" s="17" t="e">
        <f ca="1"/>
        <v>#NAME?</v>
      </c>
      <c r="I21" s="17" t="e">
        <f ca="1">G21/H21</f>
        <v>#NAME?</v>
      </c>
      <c r="J21" s="17" t="e">
        <f ca="1">TDIST(ABS(I21),$G$15,2)</f>
        <v>#NAME?</v>
      </c>
      <c r="K21" s="17" t="e">
        <f ca="1">G21-TINV(K$12,$G$15)*H21</f>
        <v>#NAME?</v>
      </c>
      <c r="L21" s="17" t="e">
        <f ca="1">G21+TINV(K$12,$G$15)*H21</f>
        <v>#NAME?</v>
      </c>
      <c r="M21" s="17" t="e">
        <f t="array" aca="1" ref="M21" ca="1">VIF(MERGE(SQRT(D4:D14),SQRT(D4:D14)*A4:B14),3)</f>
        <v>#NAME?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Ex 1</vt:lpstr>
      <vt:lpstr>Ex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2025-10-14T18:22:05Z</dcterms:created>
  <dcterms:modified xsi:type="dcterms:W3CDTF">2025-10-14T19:54:04Z</dcterms:modified>
</cp:coreProperties>
</file>