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3" documentId="8_{A1A9D326-6EA9-4063-ADC2-F190B6B5BD34}" xr6:coauthVersionLast="47" xr6:coauthVersionMax="47" xr10:uidLastSave="{9E9EB1B3-B84F-4307-AD2D-38837F91D3F2}"/>
  <bookViews>
    <workbookView xWindow="-110" yWindow="-110" windowWidth="19420" windowHeight="10300" xr2:uid="{8545461E-5084-4418-A8DF-3FF4D4468957}"/>
  </bookViews>
  <sheets>
    <sheet name="Title" sheetId="4" r:id="rId1"/>
    <sheet name="Balanced" sheetId="1" r:id="rId2"/>
    <sheet name="Unbalanced 1" sheetId="2" r:id="rId3"/>
    <sheet name="Unbalanced 2" sheetId="3" r:id="rId4"/>
  </sheets>
  <externalReferences>
    <externalReference r:id="rId5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3" l="1" a="1"/>
  <c r="J18" i="3" s="1"/>
  <c r="K16" i="3" a="1"/>
  <c r="L16" i="3" s="1"/>
  <c r="J11" i="3" a="1"/>
  <c r="J12" i="3" s="1"/>
  <c r="K10" i="3" a="1"/>
  <c r="K10" i="3" s="1"/>
  <c r="Q5" i="3" a="1"/>
  <c r="Q7" i="3" s="1"/>
  <c r="J5" i="3" a="1"/>
  <c r="J6" i="3" s="1"/>
  <c r="K4" i="3" a="1"/>
  <c r="K4" i="3" s="1"/>
  <c r="F3" i="3" a="1"/>
  <c r="G26" i="3" s="1"/>
  <c r="Z18" i="3"/>
  <c r="Y18" i="3"/>
  <c r="Z17" i="3"/>
  <c r="Y17" i="3"/>
  <c r="Z16" i="3"/>
  <c r="Y16" i="3"/>
  <c r="Z15" i="3"/>
  <c r="Y15" i="3"/>
  <c r="Z14" i="3"/>
  <c r="Y14" i="3"/>
  <c r="X14" i="3"/>
  <c r="Z13" i="3"/>
  <c r="Y13" i="3"/>
  <c r="Z12" i="3"/>
  <c r="Y12" i="3"/>
  <c r="Z11" i="3"/>
  <c r="Y11" i="3"/>
  <c r="Z10" i="3"/>
  <c r="Y10" i="3"/>
  <c r="Z9" i="3"/>
  <c r="Y9" i="3"/>
  <c r="X9" i="3"/>
  <c r="Z8" i="3"/>
  <c r="Y8" i="3"/>
  <c r="Z7" i="3"/>
  <c r="Y7" i="3"/>
  <c r="Z6" i="3"/>
  <c r="Y6" i="3"/>
  <c r="Z5" i="3"/>
  <c r="Y5" i="3"/>
  <c r="Z4" i="3"/>
  <c r="Y4" i="3"/>
  <c r="X4" i="3"/>
  <c r="Z3" i="3"/>
  <c r="Y3" i="3"/>
  <c r="O117" i="2"/>
  <c r="N117" i="2"/>
  <c r="O115" i="2"/>
  <c r="N115" i="2"/>
  <c r="P115" i="2" s="1"/>
  <c r="O114" i="2"/>
  <c r="N112" i="2"/>
  <c r="N105" i="2"/>
  <c r="O103" i="2"/>
  <c r="P102" i="2"/>
  <c r="O102" i="2"/>
  <c r="N102" i="2"/>
  <c r="P101" i="2"/>
  <c r="O101" i="2"/>
  <c r="N101" i="2"/>
  <c r="P100" i="2"/>
  <c r="O100" i="2"/>
  <c r="N100" i="2"/>
  <c r="P99" i="2"/>
  <c r="P105" i="2" s="1"/>
  <c r="R105" i="2" s="1"/>
  <c r="O99" i="2"/>
  <c r="O105" i="2" s="1"/>
  <c r="N114" i="2" s="1"/>
  <c r="P114" i="2" s="1"/>
  <c r="Q114" i="2" s="1"/>
  <c r="R114" i="2" s="1"/>
  <c r="N99" i="2"/>
  <c r="N103" i="2" s="1"/>
  <c r="O112" i="2" s="1"/>
  <c r="J75" i="2"/>
  <c r="I75" i="2"/>
  <c r="J74" i="2"/>
  <c r="I74" i="2"/>
  <c r="J73" i="2"/>
  <c r="I73" i="2"/>
  <c r="J72" i="2"/>
  <c r="I72" i="2"/>
  <c r="J71" i="2"/>
  <c r="I71" i="2"/>
  <c r="J70" i="2"/>
  <c r="I70" i="2"/>
  <c r="J69" i="2"/>
  <c r="I69" i="2"/>
  <c r="J68" i="2"/>
  <c r="I68" i="2"/>
  <c r="J67" i="2"/>
  <c r="I67" i="2"/>
  <c r="J66" i="2"/>
  <c r="I66" i="2"/>
  <c r="J65" i="2"/>
  <c r="I65" i="2"/>
  <c r="J64" i="2"/>
  <c r="I64" i="2"/>
  <c r="J63" i="2"/>
  <c r="I63" i="2"/>
  <c r="J62" i="2"/>
  <c r="I62" i="2"/>
  <c r="J61" i="2"/>
  <c r="I61" i="2"/>
  <c r="J60" i="2"/>
  <c r="I60" i="2"/>
  <c r="J59" i="2"/>
  <c r="I59" i="2"/>
  <c r="J58" i="2"/>
  <c r="I58" i="2"/>
  <c r="J57" i="2"/>
  <c r="I57" i="2"/>
  <c r="J56" i="2"/>
  <c r="I56" i="2"/>
  <c r="J55" i="2"/>
  <c r="I55" i="2"/>
  <c r="J54" i="2"/>
  <c r="I54" i="2"/>
  <c r="J53" i="2"/>
  <c r="I53" i="2"/>
  <c r="J52" i="2"/>
  <c r="I52" i="2"/>
  <c r="J51" i="2"/>
  <c r="I51" i="2"/>
  <c r="J50" i="2"/>
  <c r="I50" i="2"/>
  <c r="J49" i="2"/>
  <c r="I49" i="2"/>
  <c r="I36" i="2"/>
  <c r="H36" i="2"/>
  <c r="G36" i="2"/>
  <c r="J36" i="2" s="1"/>
  <c r="W35" i="2"/>
  <c r="I35" i="2"/>
  <c r="I37" i="2" s="1"/>
  <c r="H35" i="2"/>
  <c r="H37" i="2" s="1"/>
  <c r="G35" i="2"/>
  <c r="G37" i="2" s="1"/>
  <c r="W34" i="2"/>
  <c r="J30" i="2"/>
  <c r="I30" i="2"/>
  <c r="J29" i="2"/>
  <c r="I29" i="2"/>
  <c r="J28" i="2"/>
  <c r="I28" i="2"/>
  <c r="J27" i="2"/>
  <c r="I27" i="2"/>
  <c r="J26" i="2"/>
  <c r="I26" i="2"/>
  <c r="J25" i="2"/>
  <c r="I25" i="2"/>
  <c r="J24" i="2"/>
  <c r="I24" i="2"/>
  <c r="J23" i="2"/>
  <c r="I23" i="2"/>
  <c r="J22" i="2"/>
  <c r="I22" i="2"/>
  <c r="J21" i="2"/>
  <c r="I21" i="2"/>
  <c r="J20" i="2"/>
  <c r="I20" i="2"/>
  <c r="J19" i="2"/>
  <c r="I19" i="2"/>
  <c r="J18" i="2"/>
  <c r="I18" i="2"/>
  <c r="J17" i="2"/>
  <c r="I17" i="2"/>
  <c r="J16" i="2"/>
  <c r="I16" i="2"/>
  <c r="J15" i="2"/>
  <c r="I15" i="2"/>
  <c r="J14" i="2"/>
  <c r="I14" i="2"/>
  <c r="J13" i="2"/>
  <c r="I13" i="2"/>
  <c r="J12" i="2"/>
  <c r="I12" i="2"/>
  <c r="J11" i="2"/>
  <c r="I11" i="2"/>
  <c r="J10" i="2"/>
  <c r="I10" i="2"/>
  <c r="J9" i="2"/>
  <c r="I9" i="2"/>
  <c r="J8" i="2"/>
  <c r="I8" i="2"/>
  <c r="J7" i="2"/>
  <c r="I7" i="2"/>
  <c r="J6" i="2"/>
  <c r="I6" i="2"/>
  <c r="J5" i="2"/>
  <c r="I5" i="2"/>
  <c r="J4" i="2"/>
  <c r="I4" i="2"/>
  <c r="G48" i="1"/>
  <c r="K43" i="1"/>
  <c r="J43" i="1"/>
  <c r="I43" i="1"/>
  <c r="O42" i="1"/>
  <c r="K42" i="1"/>
  <c r="J42" i="1"/>
  <c r="I42" i="1"/>
  <c r="K41" i="1"/>
  <c r="J41" i="1"/>
  <c r="I41" i="1"/>
  <c r="K40" i="1"/>
  <c r="G47" i="1" s="1"/>
  <c r="J40" i="1"/>
  <c r="I40" i="1"/>
  <c r="K39" i="1"/>
  <c r="G46" i="1" s="1"/>
  <c r="J39" i="1"/>
  <c r="I39" i="1"/>
  <c r="O38" i="1"/>
  <c r="K38" i="1"/>
  <c r="G45" i="1" s="1"/>
  <c r="J38" i="1"/>
  <c r="I38" i="1"/>
  <c r="O37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W26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  <c r="J13" i="1"/>
  <c r="I13" i="1"/>
  <c r="J12" i="1"/>
  <c r="I12" i="1"/>
  <c r="J11" i="1"/>
  <c r="I11" i="1"/>
  <c r="J10" i="1"/>
  <c r="I10" i="1"/>
  <c r="J9" i="1"/>
  <c r="I9" i="1"/>
  <c r="J8" i="1"/>
  <c r="I8" i="1"/>
  <c r="J7" i="1"/>
  <c r="I7" i="1"/>
  <c r="J6" i="1"/>
  <c r="I6" i="1"/>
  <c r="J5" i="1"/>
  <c r="I5" i="1"/>
  <c r="J4" i="1"/>
  <c r="I4" i="1"/>
  <c r="L4" i="3" l="1"/>
  <c r="M4" i="3"/>
  <c r="L10" i="3"/>
  <c r="M10" i="3"/>
  <c r="H14" i="3"/>
  <c r="H26" i="3"/>
  <c r="H15" i="3"/>
  <c r="J11" i="3"/>
  <c r="F8" i="3"/>
  <c r="H8" i="3"/>
  <c r="H20" i="3"/>
  <c r="Q5" i="3"/>
  <c r="F5" i="3"/>
  <c r="F25" i="3"/>
  <c r="Q6" i="3"/>
  <c r="G9" i="3"/>
  <c r="G21" i="3"/>
  <c r="G29" i="3"/>
  <c r="H5" i="3"/>
  <c r="H9" i="3"/>
  <c r="H13" i="3"/>
  <c r="H17" i="3"/>
  <c r="H21" i="3"/>
  <c r="H25" i="3"/>
  <c r="H29" i="3"/>
  <c r="Q8" i="3"/>
  <c r="H10" i="3"/>
  <c r="H22" i="3"/>
  <c r="G3" i="3"/>
  <c r="H3" i="3"/>
  <c r="H11" i="3"/>
  <c r="H23" i="3"/>
  <c r="J5" i="3"/>
  <c r="F20" i="3"/>
  <c r="H12" i="3"/>
  <c r="H24" i="3"/>
  <c r="H28" i="3"/>
  <c r="F9" i="3"/>
  <c r="F17" i="3"/>
  <c r="F21" i="3"/>
  <c r="F29" i="3"/>
  <c r="G5" i="3"/>
  <c r="G17" i="3"/>
  <c r="M16" i="3"/>
  <c r="F22" i="3"/>
  <c r="J17" i="3"/>
  <c r="H6" i="3"/>
  <c r="H18" i="3"/>
  <c r="F3" i="3"/>
  <c r="F7" i="3"/>
  <c r="F11" i="3"/>
  <c r="F15" i="3"/>
  <c r="F19" i="3"/>
  <c r="F23" i="3"/>
  <c r="F27" i="3"/>
  <c r="G7" i="3"/>
  <c r="G11" i="3"/>
  <c r="G15" i="3"/>
  <c r="G19" i="3"/>
  <c r="G23" i="3"/>
  <c r="G27" i="3"/>
  <c r="H7" i="3"/>
  <c r="H19" i="3"/>
  <c r="H27" i="3"/>
  <c r="F4" i="3"/>
  <c r="F12" i="3"/>
  <c r="F16" i="3"/>
  <c r="F24" i="3"/>
  <c r="F28" i="3"/>
  <c r="G4" i="3"/>
  <c r="G8" i="3"/>
  <c r="G12" i="3"/>
  <c r="G16" i="3"/>
  <c r="G20" i="3"/>
  <c r="G24" i="3"/>
  <c r="G28" i="3"/>
  <c r="H4" i="3"/>
  <c r="H16" i="3"/>
  <c r="K16" i="3"/>
  <c r="F13" i="3"/>
  <c r="G13" i="3"/>
  <c r="G25" i="3"/>
  <c r="F6" i="3"/>
  <c r="F10" i="3"/>
  <c r="F14" i="3"/>
  <c r="F18" i="3"/>
  <c r="F26" i="3"/>
  <c r="G6" i="3"/>
  <c r="G10" i="3"/>
  <c r="G14" i="3"/>
  <c r="G18" i="3"/>
  <c r="G22" i="3"/>
  <c r="P112" i="2"/>
  <c r="Q112" i="2" s="1"/>
  <c r="R112" i="2" s="1"/>
  <c r="G49" i="1"/>
  <c r="G50" i="1"/>
  <c r="N104" i="2"/>
  <c r="O113" i="2" s="1"/>
  <c r="J35" i="2"/>
  <c r="P103" i="2"/>
  <c r="R103" i="2" s="1"/>
  <c r="O104" i="2"/>
  <c r="N113" i="2" s="1"/>
  <c r="P104" i="2"/>
  <c r="R104" i="2" s="1"/>
  <c r="K19" i="3" l="1" a="1"/>
  <c r="K19" i="3" s="1"/>
  <c r="K17" i="3" a="1"/>
  <c r="K17" i="3" s="1"/>
  <c r="K18" i="3" a="1"/>
  <c r="K18" i="3" s="1"/>
  <c r="M19" i="3" a="1"/>
  <c r="M19" i="3" s="1"/>
  <c r="L19" i="3" a="1"/>
  <c r="L19" i="3" s="1"/>
  <c r="N17" i="3" a="1"/>
  <c r="N17" i="3" s="1"/>
  <c r="M17" i="3" a="1"/>
  <c r="M17" i="3" s="1"/>
  <c r="N19" i="3"/>
  <c r="S9" i="3" s="1"/>
  <c r="N119" i="2"/>
  <c r="P113" i="2"/>
  <c r="Q113" i="2" s="1"/>
  <c r="R113" i="2" s="1"/>
  <c r="J37" i="2"/>
  <c r="G42" i="2"/>
  <c r="M6" i="3" l="1" a="1"/>
  <c r="M6" i="3" s="1"/>
  <c r="L6" i="3" a="1"/>
  <c r="L6" i="3" s="1"/>
  <c r="K6" i="3" a="1"/>
  <c r="K6" i="3" s="1"/>
  <c r="G41" i="2"/>
  <c r="G45" i="2"/>
  <c r="G44" i="2"/>
  <c r="G43" i="2"/>
  <c r="G46" i="2"/>
  <c r="M18" i="3" a="1"/>
  <c r="M18" i="3" s="1"/>
  <c r="L18" i="3" a="1"/>
  <c r="L18" i="3" s="1"/>
  <c r="N18" i="3" a="1"/>
  <c r="N18" i="3" s="1"/>
  <c r="M11" i="3" a="1"/>
  <c r="M11" i="3" s="1"/>
  <c r="L11" i="3" a="1"/>
  <c r="L11" i="3" s="1"/>
  <c r="K11" i="3" a="1"/>
  <c r="K11" i="3" s="1"/>
  <c r="M12" i="3" a="1"/>
  <c r="M12" i="3" s="1"/>
  <c r="L12" i="3" a="1"/>
  <c r="L12" i="3" s="1"/>
  <c r="K12" i="3" a="1"/>
  <c r="K12" i="3" s="1"/>
  <c r="L17" i="3" a="1"/>
  <c r="L17" i="3" s="1"/>
  <c r="L5" i="3" a="1"/>
  <c r="L5" i="3" s="1"/>
  <c r="L7" i="3" s="1" a="1"/>
  <c r="K5" i="3" a="1"/>
  <c r="K5" i="3" s="1"/>
  <c r="M5" i="3" a="1"/>
  <c r="M5" i="3" s="1"/>
  <c r="M7" i="3" s="1" a="1"/>
  <c r="M7" i="3" l="1"/>
  <c r="L7" i="3"/>
  <c r="K13" i="3" a="1"/>
  <c r="K13" i="3" s="1"/>
  <c r="N11" i="3" a="1"/>
  <c r="N11" i="3" s="1"/>
  <c r="N6" i="3" a="1"/>
  <c r="N6" i="3" s="1"/>
  <c r="L13" i="3" a="1"/>
  <c r="L13" i="3" s="1"/>
  <c r="M13" i="3" a="1"/>
  <c r="M13" i="3" s="1"/>
  <c r="N12" i="3" a="1"/>
  <c r="N12" i="3" s="1"/>
  <c r="K7" i="3" a="1"/>
  <c r="K7" i="3" s="1"/>
  <c r="K3" i="3"/>
  <c r="N5" i="3" a="1"/>
  <c r="N5" i="3" s="1"/>
  <c r="N7" i="3" s="1" a="1"/>
  <c r="N7" i="3" s="1"/>
  <c r="R9" i="3" s="1"/>
  <c r="R5" i="3" l="1"/>
  <c r="S5" i="3" s="1"/>
  <c r="N13" i="3" a="1"/>
  <c r="N13" i="3" s="1"/>
  <c r="Q9" i="3"/>
  <c r="R6" i="3"/>
  <c r="R7" i="3" l="1"/>
  <c r="S7" i="3" s="1"/>
  <c r="S6" i="3"/>
  <c r="R8" i="3" l="1"/>
  <c r="S8" i="3" s="1"/>
  <c r="T5" i="3" s="1"/>
  <c r="U5" i="3" s="1"/>
  <c r="V5" i="3" s="1"/>
  <c r="T6" i="3"/>
  <c r="U6" i="3" s="1"/>
  <c r="V6" i="3" s="1"/>
  <c r="T7" i="3" l="1"/>
  <c r="U7" i="3" s="1"/>
  <c r="V7" i="3" s="1"/>
</calcChain>
</file>

<file path=xl/sharedStrings.xml><?xml version="1.0" encoding="utf-8"?>
<sst xmlns="http://schemas.openxmlformats.org/spreadsheetml/2006/main" count="390" uniqueCount="105">
  <si>
    <t>Two-way ANOVA using regression</t>
  </si>
  <si>
    <t>Crop</t>
  </si>
  <si>
    <t>t1</t>
  </si>
  <si>
    <t>t2</t>
  </si>
  <si>
    <t>t3</t>
  </si>
  <si>
    <t>t1*t2</t>
  </si>
  <si>
    <t>t1*t3</t>
  </si>
  <si>
    <t>y</t>
  </si>
  <si>
    <t>Anova: Two-Factor With Replication</t>
  </si>
  <si>
    <t>SUMMARY OUTPUT</t>
  </si>
  <si>
    <t>Fertilizer</t>
  </si>
  <si>
    <t>Corn</t>
  </si>
  <si>
    <t>Soy</t>
  </si>
  <si>
    <t>Rice</t>
  </si>
  <si>
    <t>Blend X</t>
  </si>
  <si>
    <t>SUMMARY</t>
  </si>
  <si>
    <t>Total</t>
  </si>
  <si>
    <t>Regression Statistics</t>
  </si>
  <si>
    <t>Multiple R</t>
  </si>
  <si>
    <t>Count</t>
  </si>
  <si>
    <t>R Square</t>
  </si>
  <si>
    <t>Sum</t>
  </si>
  <si>
    <t>Adjusted R Square</t>
  </si>
  <si>
    <t>Average</t>
  </si>
  <si>
    <t>Standard Error</t>
  </si>
  <si>
    <t>Blend Y</t>
  </si>
  <si>
    <t>Variance</t>
  </si>
  <si>
    <t>Observations</t>
  </si>
  <si>
    <t>ANOVA</t>
  </si>
  <si>
    <t>df</t>
  </si>
  <si>
    <t>SS</t>
  </si>
  <si>
    <t>MS</t>
  </si>
  <si>
    <t>F</t>
  </si>
  <si>
    <t>Significance F</t>
  </si>
  <si>
    <t>Regression</t>
  </si>
  <si>
    <t>Residual</t>
  </si>
  <si>
    <t>t1 = 1 if Blend X, = 0 otherwise</t>
  </si>
  <si>
    <t>t2 = 1 if Corn, = 0 otherwise</t>
  </si>
  <si>
    <t>t3 = 1 if Soy, = 0 otherwise</t>
  </si>
  <si>
    <t>Coefficients</t>
  </si>
  <si>
    <t>t Stat</t>
  </si>
  <si>
    <t>P-value</t>
  </si>
  <si>
    <t>Lower 95%</t>
  </si>
  <si>
    <t>Upper 95%</t>
  </si>
  <si>
    <t>Intercept</t>
  </si>
  <si>
    <t>Source of Variation</t>
  </si>
  <si>
    <t>F crit</t>
  </si>
  <si>
    <t>R</t>
  </si>
  <si>
    <t>Rows</t>
  </si>
  <si>
    <t>Columns</t>
  </si>
  <si>
    <t>Regression (Row)</t>
  </si>
  <si>
    <t>Interaction</t>
  </si>
  <si>
    <t>Within</t>
  </si>
  <si>
    <t>Calculating coefficients from ANOVA</t>
  </si>
  <si>
    <t>Calculation of elements of the regression model from the ANOVA results</t>
  </si>
  <si>
    <t>mean</t>
  </si>
  <si>
    <t>MST</t>
  </si>
  <si>
    <t>Calculation of omega square</t>
  </si>
  <si>
    <r>
      <rPr>
        <sz val="11"/>
        <color theme="1"/>
        <rFont val="Calibri"/>
        <family val="2"/>
      </rPr>
      <t>ω</t>
    </r>
    <r>
      <rPr>
        <vertAlign val="superscript"/>
        <sz val="11"/>
        <color theme="1"/>
        <rFont val="Calibri"/>
        <family val="2"/>
      </rPr>
      <t>2</t>
    </r>
  </si>
  <si>
    <t>b0</t>
  </si>
  <si>
    <t>b3</t>
  </si>
  <si>
    <t>b2</t>
  </si>
  <si>
    <t>b1</t>
  </si>
  <si>
    <t>b5</t>
  </si>
  <si>
    <t>Regression (Columns)</t>
  </si>
  <si>
    <t>b4</t>
  </si>
  <si>
    <t>t1 = 1 if Blend X, = -1 Blend Y</t>
  </si>
  <si>
    <t>t2 = 1 if Corn, -1 if Rice; = 0 otherwise</t>
  </si>
  <si>
    <t>t3 = 1 if Soy, -1 if Rice; = 0 otherwise</t>
  </si>
  <si>
    <t>α + β model</t>
  </si>
  <si>
    <t>Equally weighted means</t>
  </si>
  <si>
    <t>Calculation of coefficients</t>
  </si>
  <si>
    <t>α + αβ model</t>
  </si>
  <si>
    <t>β + αβ model</t>
  </si>
  <si>
    <t>Summary</t>
  </si>
  <si>
    <t>dfReg</t>
  </si>
  <si>
    <t>SSReg</t>
  </si>
  <si>
    <t>R Square x SST</t>
  </si>
  <si>
    <t>α+β+αβ</t>
  </si>
  <si>
    <t>α+αβ</t>
  </si>
  <si>
    <t>β+αβ</t>
  </si>
  <si>
    <t>α+β</t>
  </si>
  <si>
    <t>A</t>
  </si>
  <si>
    <t>B</t>
  </si>
  <si>
    <t>AB</t>
  </si>
  <si>
    <t>ANOVA Results</t>
  </si>
  <si>
    <t>Blend (Rows)</t>
  </si>
  <si>
    <t>Crop (Columns)</t>
  </si>
  <si>
    <t>Total (as sum)</t>
  </si>
  <si>
    <t>Two-way ANOVA Real Statistics tool</t>
  </si>
  <si>
    <t>Input data in standard format</t>
  </si>
  <si>
    <t>Descriptive Statistics</t>
  </si>
  <si>
    <t>Two Factor Anova (via Regression)</t>
  </si>
  <si>
    <t>Input data with rows and columns exchanged</t>
  </si>
  <si>
    <t>COUNT</t>
  </si>
  <si>
    <t>Alpha</t>
  </si>
  <si>
    <t>p-value</t>
  </si>
  <si>
    <t>sig</t>
  </si>
  <si>
    <t>Inter</t>
  </si>
  <si>
    <t>MEAN</t>
  </si>
  <si>
    <t>VARIANCE</t>
  </si>
  <si>
    <t>Real Statistics Using Excel</t>
  </si>
  <si>
    <t>Updated</t>
  </si>
  <si>
    <t>Unbalanced Factorial ANOVA</t>
  </si>
  <si>
    <t>Copyright © 2013 - 2025 Charles Zaiontz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</si>
</sst>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right"/>
    </xf>
    <xf numFmtId="0" fontId="0" fillId="0" borderId="5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Continuous"/>
    </xf>
    <xf numFmtId="0" fontId="3" fillId="0" borderId="14" xfId="0" applyFont="1" applyBorder="1" applyAlignment="1">
      <alignment horizontal="right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0" borderId="13" xfId="0" applyFont="1" applyBorder="1" applyAlignment="1">
      <alignment horizontal="center"/>
    </xf>
    <xf numFmtId="0" fontId="4" fillId="0" borderId="0" xfId="0" applyFont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0" xfId="0" applyAlignment="1">
      <alignment horizontal="center"/>
    </xf>
    <xf numFmtId="0" fontId="0" fillId="0" borderId="27" xfId="0" applyBorder="1"/>
    <xf numFmtId="0" fontId="2" fillId="0" borderId="28" xfId="0" applyFont="1" applyBorder="1" applyAlignment="1">
      <alignment horizontal="center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15" fontId="0" fillId="0" borderId="0" xfId="0" applyNumberFormat="1"/>
    <xf numFmtId="0" fontId="6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B7372-B759-41C9-AE95-B337BF45C43B}">
  <sheetPr codeName="Sheet1"/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101</v>
      </c>
    </row>
    <row r="2" spans="1:2" x14ac:dyDescent="0.35">
      <c r="A2" t="s">
        <v>103</v>
      </c>
    </row>
    <row r="4" spans="1:2" x14ac:dyDescent="0.35">
      <c r="A4" t="s">
        <v>102</v>
      </c>
      <c r="B4" s="47">
        <v>45947</v>
      </c>
    </row>
    <row r="6" spans="1:2" x14ac:dyDescent="0.35">
      <c r="A6" s="48" t="s">
        <v>104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5A5A-BCA9-4CFB-BFE5-9CD862B20523}">
  <sheetPr codeName="Sheet121"/>
  <dimension ref="A1:AB69"/>
  <sheetViews>
    <sheetView zoomScaleNormal="100" workbookViewId="0">
      <selection activeCell="AH21" sqref="AH21"/>
    </sheetView>
  </sheetViews>
  <sheetFormatPr defaultRowHeight="14.5" x14ac:dyDescent="0.35"/>
  <cols>
    <col min="5" max="5" width="1.453125" customWidth="1"/>
    <col min="6" max="11" width="7.453125" customWidth="1"/>
    <col min="14" max="14" width="19.54296875" customWidth="1"/>
    <col min="22" max="22" width="18" customWidth="1"/>
    <col min="23" max="23" width="11.54296875" customWidth="1"/>
    <col min="24" max="24" width="14.1796875" customWidth="1"/>
    <col min="25" max="26" width="11.54296875" customWidth="1"/>
    <col min="27" max="27" width="12.26953125" customWidth="1"/>
    <col min="28" max="28" width="11.54296875" customWidth="1"/>
  </cols>
  <sheetData>
    <row r="1" spans="1:27" x14ac:dyDescent="0.35">
      <c r="A1" s="1" t="s">
        <v>0</v>
      </c>
    </row>
    <row r="3" spans="1:27" x14ac:dyDescent="0.35">
      <c r="A3" s="2"/>
      <c r="B3" s="49" t="s">
        <v>1</v>
      </c>
      <c r="C3" s="50"/>
      <c r="D3" s="51"/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N3" t="s">
        <v>8</v>
      </c>
      <c r="V3" t="s">
        <v>9</v>
      </c>
    </row>
    <row r="4" spans="1:27" ht="15" thickBot="1" x14ac:dyDescent="0.4">
      <c r="A4" s="4" t="s">
        <v>10</v>
      </c>
      <c r="B4" s="5" t="s">
        <v>11</v>
      </c>
      <c r="C4" s="5" t="s">
        <v>12</v>
      </c>
      <c r="D4" s="5" t="s">
        <v>13</v>
      </c>
      <c r="F4" s="6">
        <v>1</v>
      </c>
      <c r="G4" s="7">
        <v>1</v>
      </c>
      <c r="H4" s="8">
        <v>0</v>
      </c>
      <c r="I4" s="6">
        <f t="shared" ref="I4:I33" si="0">F4*G4</f>
        <v>1</v>
      </c>
      <c r="J4" s="8">
        <f t="shared" ref="J4:J33" si="1">F4*H4</f>
        <v>0</v>
      </c>
      <c r="K4" s="9">
        <v>128</v>
      </c>
    </row>
    <row r="5" spans="1:27" x14ac:dyDescent="0.35">
      <c r="A5" s="9" t="s">
        <v>14</v>
      </c>
      <c r="B5" s="9">
        <v>128</v>
      </c>
      <c r="C5" s="9">
        <v>166</v>
      </c>
      <c r="D5" s="9">
        <v>151</v>
      </c>
      <c r="F5" s="10">
        <v>1</v>
      </c>
      <c r="G5">
        <v>1</v>
      </c>
      <c r="H5" s="11">
        <v>0</v>
      </c>
      <c r="I5">
        <f t="shared" si="0"/>
        <v>1</v>
      </c>
      <c r="J5">
        <f t="shared" si="1"/>
        <v>0</v>
      </c>
      <c r="K5" s="12">
        <v>150</v>
      </c>
      <c r="N5" t="s">
        <v>15</v>
      </c>
      <c r="O5" t="s">
        <v>11</v>
      </c>
      <c r="P5" t="s">
        <v>12</v>
      </c>
      <c r="Q5" t="s">
        <v>13</v>
      </c>
      <c r="R5" t="s">
        <v>16</v>
      </c>
      <c r="V5" s="13" t="s">
        <v>17</v>
      </c>
      <c r="W5" s="13"/>
    </row>
    <row r="6" spans="1:27" ht="15" thickBot="1" x14ac:dyDescent="0.4">
      <c r="A6" s="12"/>
      <c r="B6" s="12">
        <v>150</v>
      </c>
      <c r="C6" s="12">
        <v>178</v>
      </c>
      <c r="D6" s="12">
        <v>125</v>
      </c>
      <c r="F6" s="10">
        <v>1</v>
      </c>
      <c r="G6">
        <v>1</v>
      </c>
      <c r="H6" s="11">
        <v>0</v>
      </c>
      <c r="I6">
        <f t="shared" si="0"/>
        <v>1</v>
      </c>
      <c r="J6">
        <f t="shared" si="1"/>
        <v>0</v>
      </c>
      <c r="K6" s="12">
        <v>174</v>
      </c>
      <c r="N6" s="14" t="s">
        <v>14</v>
      </c>
      <c r="O6" s="14"/>
      <c r="P6" s="14"/>
      <c r="Q6" s="14"/>
      <c r="R6" s="14"/>
      <c r="V6" t="s">
        <v>18</v>
      </c>
      <c r="W6">
        <v>0.61717863365297299</v>
      </c>
    </row>
    <row r="7" spans="1:27" x14ac:dyDescent="0.35">
      <c r="A7" s="12"/>
      <c r="B7" s="12">
        <v>174</v>
      </c>
      <c r="C7" s="12">
        <v>187</v>
      </c>
      <c r="D7" s="12">
        <v>117</v>
      </c>
      <c r="F7" s="10">
        <v>1</v>
      </c>
      <c r="G7">
        <v>1</v>
      </c>
      <c r="H7" s="11">
        <v>0</v>
      </c>
      <c r="I7">
        <f t="shared" si="0"/>
        <v>1</v>
      </c>
      <c r="J7">
        <f t="shared" si="1"/>
        <v>0</v>
      </c>
      <c r="K7" s="12">
        <v>116</v>
      </c>
      <c r="N7" t="s">
        <v>19</v>
      </c>
      <c r="O7">
        <v>5</v>
      </c>
      <c r="P7">
        <v>5</v>
      </c>
      <c r="Q7">
        <v>5</v>
      </c>
      <c r="R7">
        <v>15</v>
      </c>
      <c r="V7" t="s">
        <v>20</v>
      </c>
      <c r="W7">
        <v>0.38090946583775059</v>
      </c>
    </row>
    <row r="8" spans="1:27" x14ac:dyDescent="0.35">
      <c r="A8" s="12"/>
      <c r="B8" s="12">
        <v>116</v>
      </c>
      <c r="C8" s="12">
        <v>153</v>
      </c>
      <c r="D8" s="12">
        <v>155</v>
      </c>
      <c r="F8" s="15">
        <v>1</v>
      </c>
      <c r="G8" s="16">
        <v>1</v>
      </c>
      <c r="H8" s="2">
        <v>0</v>
      </c>
      <c r="I8">
        <f t="shared" si="0"/>
        <v>1</v>
      </c>
      <c r="J8">
        <f t="shared" si="1"/>
        <v>0</v>
      </c>
      <c r="K8" s="17">
        <v>109</v>
      </c>
      <c r="N8" t="s">
        <v>21</v>
      </c>
      <c r="O8">
        <v>677</v>
      </c>
      <c r="P8">
        <v>879</v>
      </c>
      <c r="Q8">
        <v>706</v>
      </c>
      <c r="R8">
        <v>2262</v>
      </c>
      <c r="V8" t="s">
        <v>22</v>
      </c>
      <c r="W8">
        <v>0.25193227122061529</v>
      </c>
    </row>
    <row r="9" spans="1:27" x14ac:dyDescent="0.35">
      <c r="A9" s="12"/>
      <c r="B9" s="17">
        <v>109</v>
      </c>
      <c r="C9" s="17">
        <v>195</v>
      </c>
      <c r="D9" s="17">
        <v>158</v>
      </c>
      <c r="F9" s="6">
        <v>0</v>
      </c>
      <c r="G9" s="7">
        <v>1</v>
      </c>
      <c r="H9" s="8">
        <v>0</v>
      </c>
      <c r="I9" s="6">
        <f t="shared" si="0"/>
        <v>0</v>
      </c>
      <c r="J9" s="8">
        <f t="shared" si="1"/>
        <v>0</v>
      </c>
      <c r="K9" s="9">
        <v>175</v>
      </c>
      <c r="N9" t="s">
        <v>23</v>
      </c>
      <c r="O9">
        <v>135.4</v>
      </c>
      <c r="P9">
        <v>175.8</v>
      </c>
      <c r="Q9">
        <v>141.19999999999999</v>
      </c>
      <c r="R9">
        <v>150.80000000000001</v>
      </c>
      <c r="V9" t="s">
        <v>24</v>
      </c>
      <c r="W9">
        <v>21.221058723196002</v>
      </c>
    </row>
    <row r="10" spans="1:27" ht="15" thickBot="1" x14ac:dyDescent="0.4">
      <c r="A10" s="9" t="s">
        <v>25</v>
      </c>
      <c r="B10" s="9">
        <v>175</v>
      </c>
      <c r="C10" s="9">
        <v>140</v>
      </c>
      <c r="D10" s="9">
        <v>167</v>
      </c>
      <c r="F10" s="10">
        <v>0</v>
      </c>
      <c r="G10">
        <v>1</v>
      </c>
      <c r="H10" s="11">
        <v>0</v>
      </c>
      <c r="I10">
        <f t="shared" si="0"/>
        <v>0</v>
      </c>
      <c r="J10">
        <f t="shared" si="1"/>
        <v>0</v>
      </c>
      <c r="K10" s="12">
        <v>132</v>
      </c>
      <c r="N10" t="s">
        <v>26</v>
      </c>
      <c r="O10">
        <v>707.79999999999927</v>
      </c>
      <c r="P10">
        <v>278.7</v>
      </c>
      <c r="Q10">
        <v>354.20000000000073</v>
      </c>
      <c r="R10">
        <v>723.88571428571595</v>
      </c>
      <c r="V10" s="18" t="s">
        <v>27</v>
      </c>
      <c r="W10" s="18">
        <v>30</v>
      </c>
    </row>
    <row r="11" spans="1:27" x14ac:dyDescent="0.35">
      <c r="A11" s="12"/>
      <c r="B11" s="12">
        <v>132</v>
      </c>
      <c r="C11" s="12">
        <v>145</v>
      </c>
      <c r="D11" s="12">
        <v>183</v>
      </c>
      <c r="F11" s="10">
        <v>0</v>
      </c>
      <c r="G11">
        <v>1</v>
      </c>
      <c r="H11" s="11">
        <v>0</v>
      </c>
      <c r="I11">
        <f t="shared" si="0"/>
        <v>0</v>
      </c>
      <c r="J11">
        <f t="shared" si="1"/>
        <v>0</v>
      </c>
      <c r="K11" s="12">
        <v>120</v>
      </c>
    </row>
    <row r="12" spans="1:27" ht="15" thickBot="1" x14ac:dyDescent="0.4">
      <c r="A12" s="12"/>
      <c r="B12" s="12">
        <v>120</v>
      </c>
      <c r="C12" s="12">
        <v>159</v>
      </c>
      <c r="D12" s="12">
        <v>142</v>
      </c>
      <c r="F12" s="10">
        <v>0</v>
      </c>
      <c r="G12">
        <v>1</v>
      </c>
      <c r="H12" s="11">
        <v>0</v>
      </c>
      <c r="I12">
        <f t="shared" si="0"/>
        <v>0</v>
      </c>
      <c r="J12">
        <f t="shared" si="1"/>
        <v>0</v>
      </c>
      <c r="K12" s="12">
        <v>187</v>
      </c>
      <c r="N12" s="14" t="s">
        <v>25</v>
      </c>
      <c r="O12" s="14"/>
      <c r="P12" s="14"/>
      <c r="Q12" s="14"/>
      <c r="R12" s="14"/>
      <c r="V12" t="s">
        <v>28</v>
      </c>
    </row>
    <row r="13" spans="1:27" x14ac:dyDescent="0.35">
      <c r="A13" s="12"/>
      <c r="B13" s="12">
        <v>187</v>
      </c>
      <c r="C13" s="12">
        <v>131</v>
      </c>
      <c r="D13" s="12">
        <v>167</v>
      </c>
      <c r="F13" s="15">
        <v>0</v>
      </c>
      <c r="G13" s="16">
        <v>1</v>
      </c>
      <c r="H13" s="2">
        <v>0</v>
      </c>
      <c r="I13">
        <f t="shared" si="0"/>
        <v>0</v>
      </c>
      <c r="J13">
        <f t="shared" si="1"/>
        <v>0</v>
      </c>
      <c r="K13" s="17">
        <v>184</v>
      </c>
      <c r="N13" t="s">
        <v>19</v>
      </c>
      <c r="O13">
        <v>5</v>
      </c>
      <c r="P13">
        <v>5</v>
      </c>
      <c r="Q13">
        <v>5</v>
      </c>
      <c r="R13">
        <v>15</v>
      </c>
      <c r="V13" s="19"/>
      <c r="W13" s="19" t="s">
        <v>29</v>
      </c>
      <c r="X13" s="19" t="s">
        <v>30</v>
      </c>
      <c r="Y13" s="19" t="s">
        <v>31</v>
      </c>
      <c r="Z13" s="19" t="s">
        <v>32</v>
      </c>
      <c r="AA13" s="19" t="s">
        <v>33</v>
      </c>
    </row>
    <row r="14" spans="1:27" x14ac:dyDescent="0.35">
      <c r="A14" s="17"/>
      <c r="B14" s="17">
        <v>184</v>
      </c>
      <c r="C14" s="17">
        <v>126</v>
      </c>
      <c r="D14" s="17">
        <v>168</v>
      </c>
      <c r="F14" s="6">
        <v>1</v>
      </c>
      <c r="G14" s="7">
        <v>0</v>
      </c>
      <c r="H14" s="8">
        <v>1</v>
      </c>
      <c r="I14" s="6">
        <f t="shared" si="0"/>
        <v>0</v>
      </c>
      <c r="J14" s="8">
        <f t="shared" si="1"/>
        <v>1</v>
      </c>
      <c r="K14" s="9">
        <v>166</v>
      </c>
      <c r="N14" t="s">
        <v>21</v>
      </c>
      <c r="O14">
        <v>798</v>
      </c>
      <c r="P14">
        <v>701</v>
      </c>
      <c r="Q14">
        <v>827</v>
      </c>
      <c r="R14">
        <v>2326</v>
      </c>
      <c r="V14" t="s">
        <v>34</v>
      </c>
      <c r="W14">
        <v>5</v>
      </c>
      <c r="X14">
        <v>6649.8666666666722</v>
      </c>
      <c r="Y14">
        <v>1329.9733333333345</v>
      </c>
      <c r="Z14">
        <v>2.9533086602516687</v>
      </c>
      <c r="AA14">
        <v>3.237417922643393E-2</v>
      </c>
    </row>
    <row r="15" spans="1:27" x14ac:dyDescent="0.35">
      <c r="F15" s="10">
        <v>1</v>
      </c>
      <c r="G15">
        <v>0</v>
      </c>
      <c r="H15" s="11">
        <v>1</v>
      </c>
      <c r="I15">
        <f t="shared" si="0"/>
        <v>0</v>
      </c>
      <c r="J15">
        <f t="shared" si="1"/>
        <v>1</v>
      </c>
      <c r="K15" s="12">
        <v>178</v>
      </c>
      <c r="N15" t="s">
        <v>23</v>
      </c>
      <c r="O15">
        <v>159.6</v>
      </c>
      <c r="P15">
        <v>140.19999999999999</v>
      </c>
      <c r="Q15">
        <v>165.4</v>
      </c>
      <c r="R15">
        <v>155.06666666666666</v>
      </c>
      <c r="V15" t="s">
        <v>35</v>
      </c>
      <c r="W15">
        <v>24</v>
      </c>
      <c r="X15">
        <v>10807.999999999996</v>
      </c>
      <c r="Y15">
        <v>450.3333333333332</v>
      </c>
    </row>
    <row r="16" spans="1:27" ht="15" thickBot="1" x14ac:dyDescent="0.4">
      <c r="A16" t="s">
        <v>36</v>
      </c>
      <c r="F16" s="10">
        <v>1</v>
      </c>
      <c r="G16">
        <v>0</v>
      </c>
      <c r="H16" s="11">
        <v>1</v>
      </c>
      <c r="I16">
        <f t="shared" si="0"/>
        <v>0</v>
      </c>
      <c r="J16">
        <f t="shared" si="1"/>
        <v>1</v>
      </c>
      <c r="K16" s="12">
        <v>187</v>
      </c>
      <c r="N16" t="s">
        <v>26</v>
      </c>
      <c r="O16">
        <v>978.29999999999927</v>
      </c>
      <c r="P16">
        <v>165.7</v>
      </c>
      <c r="Q16">
        <v>217.3</v>
      </c>
      <c r="R16">
        <v>513.35238095238208</v>
      </c>
      <c r="V16" s="18" t="s">
        <v>16</v>
      </c>
      <c r="W16" s="18">
        <v>29</v>
      </c>
      <c r="X16" s="18">
        <v>17457.866666666669</v>
      </c>
      <c r="Y16" s="18"/>
      <c r="Z16" s="18"/>
      <c r="AA16" s="18"/>
    </row>
    <row r="17" spans="1:28" ht="15" thickBot="1" x14ac:dyDescent="0.4">
      <c r="A17" t="s">
        <v>37</v>
      </c>
      <c r="F17" s="10">
        <v>1</v>
      </c>
      <c r="G17">
        <v>0</v>
      </c>
      <c r="H17" s="11">
        <v>1</v>
      </c>
      <c r="I17">
        <f t="shared" si="0"/>
        <v>0</v>
      </c>
      <c r="J17">
        <f t="shared" si="1"/>
        <v>1</v>
      </c>
      <c r="K17" s="12">
        <v>153</v>
      </c>
    </row>
    <row r="18" spans="1:28" ht="15" thickBot="1" x14ac:dyDescent="0.4">
      <c r="A18" t="s">
        <v>38</v>
      </c>
      <c r="F18" s="15">
        <v>1</v>
      </c>
      <c r="G18" s="16">
        <v>0</v>
      </c>
      <c r="H18" s="2">
        <v>1</v>
      </c>
      <c r="I18">
        <f t="shared" si="0"/>
        <v>0</v>
      </c>
      <c r="J18">
        <f t="shared" si="1"/>
        <v>1</v>
      </c>
      <c r="K18" s="17">
        <v>195</v>
      </c>
      <c r="N18" s="14" t="s">
        <v>16</v>
      </c>
      <c r="O18" s="14"/>
      <c r="P18" s="14"/>
      <c r="Q18" s="14"/>
      <c r="V18" s="19"/>
      <c r="W18" s="19" t="s">
        <v>39</v>
      </c>
      <c r="X18" s="19" t="s">
        <v>24</v>
      </c>
      <c r="Y18" s="19" t="s">
        <v>40</v>
      </c>
      <c r="Z18" s="19" t="s">
        <v>41</v>
      </c>
      <c r="AA18" s="19" t="s">
        <v>42</v>
      </c>
      <c r="AB18" s="19" t="s">
        <v>43</v>
      </c>
    </row>
    <row r="19" spans="1:28" x14ac:dyDescent="0.35">
      <c r="F19" s="6">
        <v>0</v>
      </c>
      <c r="G19" s="7">
        <v>0</v>
      </c>
      <c r="H19" s="8">
        <v>1</v>
      </c>
      <c r="I19" s="6">
        <f t="shared" si="0"/>
        <v>0</v>
      </c>
      <c r="J19" s="8">
        <f t="shared" si="1"/>
        <v>0</v>
      </c>
      <c r="K19" s="9">
        <v>140</v>
      </c>
      <c r="N19" t="s">
        <v>19</v>
      </c>
      <c r="O19">
        <v>10</v>
      </c>
      <c r="P19">
        <v>10</v>
      </c>
      <c r="Q19">
        <v>10</v>
      </c>
      <c r="V19" t="s">
        <v>44</v>
      </c>
      <c r="W19">
        <v>165.4</v>
      </c>
      <c r="X19">
        <v>9.4903459719162306</v>
      </c>
      <c r="Y19">
        <v>17.42823712533248</v>
      </c>
      <c r="Z19">
        <v>3.9686361709731235E-15</v>
      </c>
      <c r="AA19">
        <v>145.81288859920977</v>
      </c>
      <c r="AB19">
        <v>184.98711140079024</v>
      </c>
    </row>
    <row r="20" spans="1:28" x14ac:dyDescent="0.35">
      <c r="F20" s="10">
        <v>0</v>
      </c>
      <c r="G20">
        <v>0</v>
      </c>
      <c r="H20" s="11">
        <v>1</v>
      </c>
      <c r="I20">
        <f t="shared" si="0"/>
        <v>0</v>
      </c>
      <c r="J20">
        <f t="shared" si="1"/>
        <v>0</v>
      </c>
      <c r="K20" s="12">
        <v>145</v>
      </c>
      <c r="N20" t="s">
        <v>21</v>
      </c>
      <c r="O20">
        <v>1475</v>
      </c>
      <c r="P20">
        <v>1580</v>
      </c>
      <c r="Q20">
        <v>1533</v>
      </c>
      <c r="V20" t="s">
        <v>2</v>
      </c>
      <c r="W20">
        <v>-24.200000000000003</v>
      </c>
      <c r="X20">
        <v>13.421375985096804</v>
      </c>
      <c r="Y20">
        <v>-1.8030938129497203</v>
      </c>
      <c r="Z20">
        <v>8.3944409308501486E-2</v>
      </c>
      <c r="AA20">
        <v>-51.900358590710219</v>
      </c>
      <c r="AB20">
        <v>3.5003585907102135</v>
      </c>
    </row>
    <row r="21" spans="1:28" x14ac:dyDescent="0.35">
      <c r="F21" s="10">
        <v>0</v>
      </c>
      <c r="G21">
        <v>0</v>
      </c>
      <c r="H21" s="11">
        <v>1</v>
      </c>
      <c r="I21">
        <f t="shared" si="0"/>
        <v>0</v>
      </c>
      <c r="J21">
        <f t="shared" si="1"/>
        <v>0</v>
      </c>
      <c r="K21" s="12">
        <v>159</v>
      </c>
      <c r="N21" t="s">
        <v>23</v>
      </c>
      <c r="O21">
        <v>147.5</v>
      </c>
      <c r="P21">
        <v>158</v>
      </c>
      <c r="Q21">
        <v>153.30000000000001</v>
      </c>
      <c r="V21" t="s">
        <v>3</v>
      </c>
      <c r="W21">
        <v>-5.800000000000014</v>
      </c>
      <c r="X21">
        <v>13.421375985096805</v>
      </c>
      <c r="Y21">
        <v>-0.43214645103753718</v>
      </c>
      <c r="Z21">
        <v>0.66949292622206347</v>
      </c>
      <c r="AA21">
        <v>-33.500358590710235</v>
      </c>
      <c r="AB21">
        <v>21.900358590710205</v>
      </c>
    </row>
    <row r="22" spans="1:28" x14ac:dyDescent="0.35">
      <c r="F22" s="10">
        <v>0</v>
      </c>
      <c r="G22">
        <v>0</v>
      </c>
      <c r="H22" s="11">
        <v>1</v>
      </c>
      <c r="I22">
        <f t="shared" si="0"/>
        <v>0</v>
      </c>
      <c r="J22">
        <f t="shared" si="1"/>
        <v>0</v>
      </c>
      <c r="K22" s="12">
        <v>131</v>
      </c>
      <c r="N22" t="s">
        <v>26</v>
      </c>
      <c r="O22">
        <v>912.05555555555554</v>
      </c>
      <c r="P22">
        <v>549.55555555555554</v>
      </c>
      <c r="Q22">
        <v>416.67777777777843</v>
      </c>
      <c r="V22" t="s">
        <v>4</v>
      </c>
      <c r="W22">
        <v>-25.199999999999978</v>
      </c>
      <c r="X22">
        <v>13.421375985096804</v>
      </c>
      <c r="Y22">
        <v>-1.8776018217492936</v>
      </c>
      <c r="Z22">
        <v>7.2641419078709163E-2</v>
      </c>
      <c r="AA22">
        <v>-52.900358590710198</v>
      </c>
      <c r="AB22">
        <v>2.5003585907102384</v>
      </c>
    </row>
    <row r="23" spans="1:28" x14ac:dyDescent="0.35">
      <c r="F23" s="15">
        <v>0</v>
      </c>
      <c r="G23" s="16">
        <v>0</v>
      </c>
      <c r="H23" s="2">
        <v>1</v>
      </c>
      <c r="I23">
        <f t="shared" si="0"/>
        <v>0</v>
      </c>
      <c r="J23">
        <f t="shared" si="1"/>
        <v>0</v>
      </c>
      <c r="K23" s="17">
        <v>126</v>
      </c>
      <c r="V23" t="s">
        <v>5</v>
      </c>
      <c r="W23">
        <v>3.3365259019643346E-14</v>
      </c>
      <c r="X23">
        <v>18.980691943832461</v>
      </c>
      <c r="Y23">
        <v>1.7578526177221358E-15</v>
      </c>
      <c r="Z23">
        <v>1</v>
      </c>
      <c r="AA23">
        <v>-39.174222801580434</v>
      </c>
      <c r="AB23">
        <v>39.174222801580505</v>
      </c>
    </row>
    <row r="24" spans="1:28" ht="15" thickBot="1" x14ac:dyDescent="0.4">
      <c r="F24" s="6">
        <v>1</v>
      </c>
      <c r="G24" s="7">
        <v>0</v>
      </c>
      <c r="H24" s="8">
        <v>0</v>
      </c>
      <c r="I24" s="6">
        <f t="shared" si="0"/>
        <v>0</v>
      </c>
      <c r="J24" s="8">
        <f t="shared" si="1"/>
        <v>0</v>
      </c>
      <c r="K24" s="9">
        <v>151</v>
      </c>
      <c r="V24" s="18" t="s">
        <v>6</v>
      </c>
      <c r="W24" s="18">
        <v>59.79999999999999</v>
      </c>
      <c r="X24" s="18">
        <v>18.980691943832458</v>
      </c>
      <c r="Y24" s="18">
        <v>3.1505700728382173</v>
      </c>
      <c r="Z24" s="18">
        <v>4.3278128988797253E-3</v>
      </c>
      <c r="AA24" s="18">
        <v>20.625777198419527</v>
      </c>
      <c r="AB24" s="18">
        <v>98.974222801580453</v>
      </c>
    </row>
    <row r="25" spans="1:28" ht="15" thickBot="1" x14ac:dyDescent="0.4">
      <c r="F25" s="10">
        <v>1</v>
      </c>
      <c r="G25">
        <v>0</v>
      </c>
      <c r="H25" s="11">
        <v>0</v>
      </c>
      <c r="I25">
        <f t="shared" si="0"/>
        <v>0</v>
      </c>
      <c r="J25">
        <f t="shared" si="1"/>
        <v>0</v>
      </c>
      <c r="K25" s="12">
        <v>125</v>
      </c>
      <c r="N25" t="s">
        <v>28</v>
      </c>
    </row>
    <row r="26" spans="1:28" x14ac:dyDescent="0.35">
      <c r="F26" s="10">
        <v>1</v>
      </c>
      <c r="G26">
        <v>0</v>
      </c>
      <c r="H26" s="11">
        <v>0</v>
      </c>
      <c r="I26">
        <f t="shared" si="0"/>
        <v>0</v>
      </c>
      <c r="J26">
        <f t="shared" si="1"/>
        <v>0</v>
      </c>
      <c r="K26" s="12">
        <v>117</v>
      </c>
      <c r="N26" s="19" t="s">
        <v>45</v>
      </c>
      <c r="O26" s="19" t="s">
        <v>30</v>
      </c>
      <c r="P26" s="19" t="s">
        <v>29</v>
      </c>
      <c r="Q26" s="19" t="s">
        <v>31</v>
      </c>
      <c r="R26" s="19" t="s">
        <v>32</v>
      </c>
      <c r="S26" s="19" t="s">
        <v>41</v>
      </c>
      <c r="T26" s="19" t="s">
        <v>46</v>
      </c>
      <c r="V26" t="s">
        <v>47</v>
      </c>
      <c r="W26" s="4">
        <f>X14/X16</f>
        <v>0.38090946583775059</v>
      </c>
    </row>
    <row r="27" spans="1:28" x14ac:dyDescent="0.35">
      <c r="F27" s="10">
        <v>1</v>
      </c>
      <c r="G27">
        <v>0</v>
      </c>
      <c r="H27" s="11">
        <v>0</v>
      </c>
      <c r="I27">
        <f t="shared" si="0"/>
        <v>0</v>
      </c>
      <c r="J27">
        <f t="shared" si="1"/>
        <v>0</v>
      </c>
      <c r="K27" s="12">
        <v>155</v>
      </c>
      <c r="N27" t="s">
        <v>48</v>
      </c>
      <c r="O27">
        <v>136.53333333333285</v>
      </c>
      <c r="P27">
        <v>1</v>
      </c>
      <c r="Q27">
        <v>136.53333333333285</v>
      </c>
      <c r="R27">
        <v>0.30318282753515807</v>
      </c>
      <c r="S27">
        <v>0.58698317897716845</v>
      </c>
      <c r="T27">
        <v>4.2596772726902348</v>
      </c>
    </row>
    <row r="28" spans="1:28" x14ac:dyDescent="0.35">
      <c r="F28" s="15">
        <v>1</v>
      </c>
      <c r="G28" s="16">
        <v>0</v>
      </c>
      <c r="H28" s="2">
        <v>0</v>
      </c>
      <c r="I28">
        <f t="shared" si="0"/>
        <v>0</v>
      </c>
      <c r="J28">
        <f t="shared" si="1"/>
        <v>0</v>
      </c>
      <c r="K28" s="17">
        <v>158</v>
      </c>
      <c r="N28" t="s">
        <v>49</v>
      </c>
      <c r="O28">
        <v>553.26666666666642</v>
      </c>
      <c r="P28">
        <v>2</v>
      </c>
      <c r="Q28">
        <v>276.63333333333321</v>
      </c>
      <c r="R28">
        <v>0.61428571428571399</v>
      </c>
      <c r="S28">
        <v>0.54931693706660334</v>
      </c>
      <c r="T28">
        <v>3.4028261053501945</v>
      </c>
      <c r="V28" t="s">
        <v>50</v>
      </c>
    </row>
    <row r="29" spans="1:28" x14ac:dyDescent="0.35">
      <c r="F29" s="6">
        <v>0</v>
      </c>
      <c r="G29" s="7">
        <v>0</v>
      </c>
      <c r="H29" s="8">
        <v>0</v>
      </c>
      <c r="I29" s="6">
        <f t="shared" si="0"/>
        <v>0</v>
      </c>
      <c r="J29" s="8">
        <f t="shared" si="1"/>
        <v>0</v>
      </c>
      <c r="K29" s="9">
        <v>167</v>
      </c>
      <c r="N29" t="s">
        <v>51</v>
      </c>
      <c r="O29">
        <v>5960.0666666666657</v>
      </c>
      <c r="P29">
        <v>2</v>
      </c>
      <c r="Q29">
        <v>2980.0333333333328</v>
      </c>
      <c r="R29">
        <v>6.6173945225758688</v>
      </c>
      <c r="S29">
        <v>5.1421901060349955E-3</v>
      </c>
      <c r="T29">
        <v>3.4028261053501945</v>
      </c>
    </row>
    <row r="30" spans="1:28" x14ac:dyDescent="0.35">
      <c r="F30" s="10">
        <v>0</v>
      </c>
      <c r="G30">
        <v>0</v>
      </c>
      <c r="H30" s="11">
        <v>0</v>
      </c>
      <c r="I30" s="10">
        <f t="shared" si="0"/>
        <v>0</v>
      </c>
      <c r="J30" s="11">
        <f t="shared" si="1"/>
        <v>0</v>
      </c>
      <c r="K30" s="12">
        <v>183</v>
      </c>
      <c r="N30" t="s">
        <v>52</v>
      </c>
      <c r="O30">
        <v>10808</v>
      </c>
      <c r="P30">
        <v>24</v>
      </c>
      <c r="Q30">
        <v>450.33333333333331</v>
      </c>
      <c r="V30" t="s">
        <v>9</v>
      </c>
    </row>
    <row r="31" spans="1:28" ht="15" thickBot="1" x14ac:dyDescent="0.4">
      <c r="F31" s="10">
        <v>0</v>
      </c>
      <c r="G31">
        <v>0</v>
      </c>
      <c r="H31" s="11">
        <v>0</v>
      </c>
      <c r="I31" s="10">
        <f t="shared" si="0"/>
        <v>0</v>
      </c>
      <c r="J31" s="11">
        <f t="shared" si="1"/>
        <v>0</v>
      </c>
      <c r="K31" s="12">
        <v>142</v>
      </c>
    </row>
    <row r="32" spans="1:28" ht="15" thickBot="1" x14ac:dyDescent="0.4">
      <c r="F32" s="10">
        <v>0</v>
      </c>
      <c r="G32">
        <v>0</v>
      </c>
      <c r="H32" s="11">
        <v>0</v>
      </c>
      <c r="I32" s="10">
        <f t="shared" si="0"/>
        <v>0</v>
      </c>
      <c r="J32" s="11">
        <f t="shared" si="1"/>
        <v>0</v>
      </c>
      <c r="K32" s="12">
        <v>167</v>
      </c>
      <c r="N32" s="18" t="s">
        <v>16</v>
      </c>
      <c r="O32" s="18">
        <v>17457.866666666665</v>
      </c>
      <c r="P32" s="18">
        <v>29</v>
      </c>
      <c r="Q32" s="18"/>
      <c r="R32" s="18"/>
      <c r="S32" s="18"/>
      <c r="T32" s="18"/>
      <c r="V32" s="13" t="s">
        <v>17</v>
      </c>
      <c r="W32" s="13"/>
    </row>
    <row r="33" spans="6:28" x14ac:dyDescent="0.35">
      <c r="F33" s="15">
        <v>0</v>
      </c>
      <c r="G33" s="16">
        <v>0</v>
      </c>
      <c r="H33" s="2">
        <v>0</v>
      </c>
      <c r="I33" s="15">
        <f t="shared" si="0"/>
        <v>0</v>
      </c>
      <c r="J33" s="2">
        <f t="shared" si="1"/>
        <v>0</v>
      </c>
      <c r="K33" s="17">
        <v>168</v>
      </c>
      <c r="V33" t="s">
        <v>18</v>
      </c>
      <c r="W33">
        <v>8.8434914543495211E-2</v>
      </c>
    </row>
    <row r="34" spans="6:28" x14ac:dyDescent="0.35">
      <c r="V34" t="s">
        <v>20</v>
      </c>
      <c r="W34">
        <v>7.8207341103152996E-3</v>
      </c>
    </row>
    <row r="35" spans="6:28" x14ac:dyDescent="0.35">
      <c r="F35" t="s">
        <v>53</v>
      </c>
      <c r="N35" t="s">
        <v>54</v>
      </c>
      <c r="V35" t="s">
        <v>22</v>
      </c>
      <c r="W35">
        <v>-2.7614239671459154E-2</v>
      </c>
    </row>
    <row r="36" spans="6:28" x14ac:dyDescent="0.35">
      <c r="V36" t="s">
        <v>24</v>
      </c>
      <c r="W36">
        <v>24.872053546481592</v>
      </c>
    </row>
    <row r="37" spans="6:28" ht="15" thickBot="1" x14ac:dyDescent="0.4">
      <c r="F37" s="3" t="s">
        <v>2</v>
      </c>
      <c r="G37" s="3" t="s">
        <v>3</v>
      </c>
      <c r="H37" s="3" t="s">
        <v>4</v>
      </c>
      <c r="I37" s="3" t="s">
        <v>5</v>
      </c>
      <c r="J37" s="3" t="s">
        <v>6</v>
      </c>
      <c r="K37" s="3" t="s">
        <v>55</v>
      </c>
      <c r="N37" t="s">
        <v>56</v>
      </c>
      <c r="O37" s="9">
        <f>O32/P32</f>
        <v>601.99540229885054</v>
      </c>
      <c r="V37" s="18" t="s">
        <v>27</v>
      </c>
      <c r="W37" s="18">
        <v>30</v>
      </c>
    </row>
    <row r="38" spans="6:28" x14ac:dyDescent="0.35">
      <c r="F38" s="6">
        <v>0</v>
      </c>
      <c r="G38" s="7">
        <v>0</v>
      </c>
      <c r="H38" s="7">
        <v>0</v>
      </c>
      <c r="I38" s="6">
        <f t="shared" ref="I38:I43" si="2">F38*G38</f>
        <v>0</v>
      </c>
      <c r="J38" s="8">
        <f t="shared" ref="J38:J43" si="3">F38*H38</f>
        <v>0</v>
      </c>
      <c r="K38" s="9">
        <f t="shared" ref="K38:K43" si="4">AVERAGEIFS($K$4:$K$33,$F$4:$F$33,F38,$G$4:$G$33,G38,$H$4:$H$33,H38)</f>
        <v>165.4</v>
      </c>
      <c r="N38" t="s">
        <v>47</v>
      </c>
      <c r="O38" s="17">
        <f>1-O30/O32</f>
        <v>0.38090946583775021</v>
      </c>
    </row>
    <row r="39" spans="6:28" ht="15" thickBot="1" x14ac:dyDescent="0.4">
      <c r="F39" s="10">
        <v>0</v>
      </c>
      <c r="G39">
        <v>0</v>
      </c>
      <c r="H39">
        <v>1</v>
      </c>
      <c r="I39" s="10">
        <f t="shared" si="2"/>
        <v>0</v>
      </c>
      <c r="J39" s="11">
        <f t="shared" si="3"/>
        <v>0</v>
      </c>
      <c r="K39" s="12">
        <f t="shared" si="4"/>
        <v>140.19999999999999</v>
      </c>
      <c r="V39" t="s">
        <v>28</v>
      </c>
    </row>
    <row r="40" spans="6:28" x14ac:dyDescent="0.35">
      <c r="F40" s="10">
        <v>0</v>
      </c>
      <c r="G40">
        <v>1</v>
      </c>
      <c r="H40">
        <v>0</v>
      </c>
      <c r="I40" s="10">
        <f t="shared" si="2"/>
        <v>0</v>
      </c>
      <c r="J40" s="11">
        <f t="shared" si="3"/>
        <v>0</v>
      </c>
      <c r="K40" s="12">
        <f t="shared" si="4"/>
        <v>159.6</v>
      </c>
      <c r="N40" t="s">
        <v>57</v>
      </c>
      <c r="V40" s="19"/>
      <c r="W40" s="19" t="s">
        <v>29</v>
      </c>
      <c r="X40" s="19" t="s">
        <v>30</v>
      </c>
      <c r="Y40" s="19" t="s">
        <v>31</v>
      </c>
      <c r="Z40" s="19" t="s">
        <v>32</v>
      </c>
      <c r="AA40" s="19" t="s">
        <v>33</v>
      </c>
    </row>
    <row r="41" spans="6:28" x14ac:dyDescent="0.35">
      <c r="F41" s="10">
        <v>1</v>
      </c>
      <c r="G41">
        <v>0</v>
      </c>
      <c r="H41">
        <v>0</v>
      </c>
      <c r="I41" s="10">
        <f t="shared" si="2"/>
        <v>0</v>
      </c>
      <c r="J41" s="11">
        <f t="shared" si="3"/>
        <v>0</v>
      </c>
      <c r="K41" s="12">
        <f t="shared" si="4"/>
        <v>141.19999999999999</v>
      </c>
      <c r="V41" t="s">
        <v>34</v>
      </c>
      <c r="W41">
        <v>1</v>
      </c>
      <c r="X41">
        <v>136.53333333333649</v>
      </c>
      <c r="Y41">
        <v>136.53333333333649</v>
      </c>
      <c r="Z41">
        <v>0.22070664306058552</v>
      </c>
      <c r="AA41">
        <v>0.64214034280893406</v>
      </c>
    </row>
    <row r="42" spans="6:28" ht="16.5" x14ac:dyDescent="0.35">
      <c r="F42" s="10">
        <v>1</v>
      </c>
      <c r="G42">
        <v>0</v>
      </c>
      <c r="H42">
        <v>1</v>
      </c>
      <c r="I42" s="10">
        <f t="shared" si="2"/>
        <v>0</v>
      </c>
      <c r="J42" s="11">
        <f t="shared" si="3"/>
        <v>1</v>
      </c>
      <c r="K42" s="12">
        <f t="shared" si="4"/>
        <v>175.8</v>
      </c>
      <c r="N42" s="20" t="s">
        <v>58</v>
      </c>
      <c r="O42" s="4">
        <f>(O32-P32*Q30)/(O32+Q30)</f>
        <v>0.24559698908879729</v>
      </c>
      <c r="V42" t="s">
        <v>35</v>
      </c>
      <c r="W42">
        <v>28</v>
      </c>
      <c r="X42">
        <v>17321.333333333332</v>
      </c>
      <c r="Y42">
        <v>618.61904761904759</v>
      </c>
    </row>
    <row r="43" spans="6:28" ht="15" thickBot="1" x14ac:dyDescent="0.4">
      <c r="F43" s="15">
        <v>1</v>
      </c>
      <c r="G43" s="16">
        <v>1</v>
      </c>
      <c r="H43" s="16">
        <v>0</v>
      </c>
      <c r="I43" s="15">
        <f t="shared" si="2"/>
        <v>1</v>
      </c>
      <c r="J43" s="2">
        <f t="shared" si="3"/>
        <v>0</v>
      </c>
      <c r="K43" s="17">
        <f t="shared" si="4"/>
        <v>135.4</v>
      </c>
      <c r="V43" s="18" t="s">
        <v>16</v>
      </c>
      <c r="W43" s="18">
        <v>29</v>
      </c>
      <c r="X43" s="18">
        <v>17457.866666666669</v>
      </c>
      <c r="Y43" s="18"/>
      <c r="Z43" s="18"/>
      <c r="AA43" s="18"/>
    </row>
    <row r="44" spans="6:28" ht="15" thickBot="1" x14ac:dyDescent="0.4"/>
    <row r="45" spans="6:28" x14ac:dyDescent="0.35">
      <c r="F45" t="s">
        <v>59</v>
      </c>
      <c r="G45" s="9">
        <f>K38</f>
        <v>165.4</v>
      </c>
      <c r="V45" s="19"/>
      <c r="W45" s="19" t="s">
        <v>39</v>
      </c>
      <c r="X45" s="19" t="s">
        <v>24</v>
      </c>
      <c r="Y45" s="19" t="s">
        <v>40</v>
      </c>
      <c r="Z45" s="19" t="s">
        <v>41</v>
      </c>
      <c r="AA45" s="19" t="s">
        <v>42</v>
      </c>
      <c r="AB45" s="19" t="s">
        <v>43</v>
      </c>
    </row>
    <row r="46" spans="6:28" x14ac:dyDescent="0.35">
      <c r="F46" t="s">
        <v>60</v>
      </c>
      <c r="G46" s="12">
        <f>K39-G45</f>
        <v>-25.200000000000017</v>
      </c>
      <c r="V46" t="s">
        <v>44</v>
      </c>
      <c r="W46">
        <v>155.06666666666666</v>
      </c>
      <c r="X46">
        <v>6.4219366114334884</v>
      </c>
      <c r="Y46">
        <v>24.146402565012718</v>
      </c>
      <c r="Z46">
        <v>2.7487004367434417E-20</v>
      </c>
      <c r="AA46">
        <v>141.91192584764997</v>
      </c>
      <c r="AB46">
        <v>168.22140748568336</v>
      </c>
    </row>
    <row r="47" spans="6:28" ht="15" thickBot="1" x14ac:dyDescent="0.4">
      <c r="F47" t="s">
        <v>61</v>
      </c>
      <c r="G47" s="12">
        <f>K40-K38</f>
        <v>-5.8000000000000114</v>
      </c>
      <c r="V47" s="18" t="s">
        <v>2</v>
      </c>
      <c r="W47" s="18">
        <v>-4.2666666666666675</v>
      </c>
      <c r="X47" s="18">
        <v>9.0819898525895564</v>
      </c>
      <c r="Y47" s="18">
        <v>-0.46979425609577274</v>
      </c>
      <c r="Z47" s="18">
        <v>0.64214034280893784</v>
      </c>
      <c r="AA47" s="18">
        <v>-22.870279542423056</v>
      </c>
      <c r="AB47" s="18">
        <v>14.336946209089719</v>
      </c>
    </row>
    <row r="48" spans="6:28" x14ac:dyDescent="0.35">
      <c r="F48" t="s">
        <v>62</v>
      </c>
      <c r="G48" s="12">
        <f>K41-K38</f>
        <v>-24.200000000000017</v>
      </c>
    </row>
    <row r="49" spans="6:27" x14ac:dyDescent="0.35">
      <c r="F49" t="s">
        <v>63</v>
      </c>
      <c r="G49" s="12">
        <f>K42-G44-G45-G48-G46</f>
        <v>59.80000000000004</v>
      </c>
      <c r="V49" t="s">
        <v>64</v>
      </c>
    </row>
    <row r="50" spans="6:27" x14ac:dyDescent="0.35">
      <c r="F50" t="s">
        <v>65</v>
      </c>
      <c r="G50" s="17">
        <f>K43-G45-G48-G47</f>
        <v>2.8421709430404007E-14</v>
      </c>
    </row>
    <row r="51" spans="6:27" x14ac:dyDescent="0.35">
      <c r="V51" t="s">
        <v>9</v>
      </c>
    </row>
    <row r="52" spans="6:27" ht="15" thickBot="1" x14ac:dyDescent="0.4"/>
    <row r="53" spans="6:27" x14ac:dyDescent="0.35">
      <c r="V53" s="13" t="s">
        <v>17</v>
      </c>
      <c r="W53" s="13"/>
    </row>
    <row r="54" spans="6:27" x14ac:dyDescent="0.35">
      <c r="V54" t="s">
        <v>18</v>
      </c>
      <c r="W54">
        <v>0.17802117640545412</v>
      </c>
    </row>
    <row r="55" spans="6:27" x14ac:dyDescent="0.35">
      <c r="V55" t="s">
        <v>20</v>
      </c>
      <c r="W55">
        <v>3.1691539248781812E-2</v>
      </c>
    </row>
    <row r="56" spans="6:27" x14ac:dyDescent="0.35">
      <c r="V56" t="s">
        <v>22</v>
      </c>
      <c r="W56">
        <v>-4.0035013399456566E-2</v>
      </c>
    </row>
    <row r="57" spans="6:27" x14ac:dyDescent="0.35">
      <c r="V57" t="s">
        <v>24</v>
      </c>
      <c r="W57">
        <v>25.021916319424786</v>
      </c>
    </row>
    <row r="58" spans="6:27" ht="15" thickBot="1" x14ac:dyDescent="0.4">
      <c r="V58" s="18" t="s">
        <v>27</v>
      </c>
      <c r="W58" s="18">
        <v>30</v>
      </c>
    </row>
    <row r="60" spans="6:27" ht="15" thickBot="1" x14ac:dyDescent="0.4">
      <c r="V60" t="s">
        <v>28</v>
      </c>
    </row>
    <row r="61" spans="6:27" x14ac:dyDescent="0.35">
      <c r="V61" s="19"/>
      <c r="W61" s="19" t="s">
        <v>29</v>
      </c>
      <c r="X61" s="19" t="s">
        <v>30</v>
      </c>
      <c r="Y61" s="19" t="s">
        <v>31</v>
      </c>
      <c r="Z61" s="19" t="s">
        <v>32</v>
      </c>
      <c r="AA61" s="19" t="s">
        <v>33</v>
      </c>
    </row>
    <row r="62" spans="6:27" x14ac:dyDescent="0.35">
      <c r="V62" t="s">
        <v>34</v>
      </c>
      <c r="W62">
        <v>2</v>
      </c>
      <c r="X62">
        <v>553.26666666666642</v>
      </c>
      <c r="Y62">
        <v>276.63333333333321</v>
      </c>
      <c r="Z62">
        <v>0.44183831619795771</v>
      </c>
      <c r="AA62">
        <v>0.64741880368758675</v>
      </c>
    </row>
    <row r="63" spans="6:27" x14ac:dyDescent="0.35">
      <c r="V63" t="s">
        <v>35</v>
      </c>
      <c r="W63">
        <v>27</v>
      </c>
      <c r="X63">
        <v>16904.600000000002</v>
      </c>
      <c r="Y63">
        <v>626.09629629629637</v>
      </c>
    </row>
    <row r="64" spans="6:27" ht="15" thickBot="1" x14ac:dyDescent="0.4">
      <c r="V64" s="18" t="s">
        <v>16</v>
      </c>
      <c r="W64" s="18">
        <v>29</v>
      </c>
      <c r="X64" s="18">
        <v>17457.866666666669</v>
      </c>
      <c r="Y64" s="18"/>
      <c r="Z64" s="18"/>
      <c r="AA64" s="18"/>
    </row>
    <row r="65" spans="22:28" ht="15" thickBot="1" x14ac:dyDescent="0.4"/>
    <row r="66" spans="22:28" x14ac:dyDescent="0.35">
      <c r="V66" s="19"/>
      <c r="W66" s="19" t="s">
        <v>39</v>
      </c>
      <c r="X66" s="19" t="s">
        <v>24</v>
      </c>
      <c r="Y66" s="19" t="s">
        <v>40</v>
      </c>
      <c r="Z66" s="19" t="s">
        <v>41</v>
      </c>
      <c r="AA66" s="19" t="s">
        <v>42</v>
      </c>
      <c r="AB66" s="19" t="s">
        <v>43</v>
      </c>
    </row>
    <row r="67" spans="22:28" x14ac:dyDescent="0.35">
      <c r="V67" t="s">
        <v>44</v>
      </c>
      <c r="W67">
        <v>153.30000000000001</v>
      </c>
      <c r="X67">
        <v>7.9126246991519587</v>
      </c>
      <c r="Y67">
        <v>19.374102251611916</v>
      </c>
      <c r="Z67">
        <v>2.2773089840122635E-17</v>
      </c>
      <c r="AA67">
        <v>137.06463517682437</v>
      </c>
      <c r="AB67">
        <v>169.53536482317566</v>
      </c>
    </row>
    <row r="68" spans="22:28" x14ac:dyDescent="0.35">
      <c r="V68" t="s">
        <v>3</v>
      </c>
      <c r="W68">
        <v>-5.8000000000000025</v>
      </c>
      <c r="X68">
        <v>11.190141163509033</v>
      </c>
      <c r="Y68">
        <v>-0.51831338990733733</v>
      </c>
      <c r="Z68">
        <v>0.60846147622121627</v>
      </c>
      <c r="AA68">
        <v>-28.760273123010052</v>
      </c>
      <c r="AB68">
        <v>17.160273123010043</v>
      </c>
    </row>
    <row r="69" spans="22:28" ht="15" thickBot="1" x14ac:dyDescent="0.4">
      <c r="V69" s="18" t="s">
        <v>4</v>
      </c>
      <c r="W69" s="18">
        <v>4.6999999999999984</v>
      </c>
      <c r="X69" s="18">
        <v>11.190141163509031</v>
      </c>
      <c r="Y69" s="18">
        <v>0.42001257458008345</v>
      </c>
      <c r="Z69" s="18">
        <v>0.67779993734881439</v>
      </c>
      <c r="AA69" s="18">
        <v>-18.260273123010045</v>
      </c>
      <c r="AB69" s="18">
        <v>27.660273123010043</v>
      </c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52173-702A-4EB3-A57B-B9511D967F71}">
  <sheetPr codeName="Sheet122"/>
  <dimension ref="A1:AA119"/>
  <sheetViews>
    <sheetView zoomScaleNormal="100" workbookViewId="0">
      <selection activeCell="AH21" sqref="AH21"/>
    </sheetView>
  </sheetViews>
  <sheetFormatPr defaultRowHeight="14.5" x14ac:dyDescent="0.35"/>
  <cols>
    <col min="6" max="11" width="7.453125" customWidth="1"/>
    <col min="13" max="13" width="18" customWidth="1"/>
    <col min="14" max="14" width="11.54296875" customWidth="1"/>
    <col min="15" max="15" width="14.1796875" customWidth="1"/>
    <col min="16" max="17" width="11.54296875" customWidth="1"/>
    <col min="18" max="18" width="12.26953125" customWidth="1"/>
    <col min="19" max="19" width="11.54296875" customWidth="1"/>
    <col min="21" max="21" width="19.54296875" customWidth="1"/>
  </cols>
  <sheetData>
    <row r="1" spans="1:25" x14ac:dyDescent="0.35">
      <c r="A1" s="1" t="s">
        <v>0</v>
      </c>
    </row>
    <row r="2" spans="1:25" x14ac:dyDescent="0.35">
      <c r="M2" t="s">
        <v>9</v>
      </c>
    </row>
    <row r="3" spans="1:25" ht="15" thickBot="1" x14ac:dyDescent="0.4">
      <c r="A3" s="2"/>
      <c r="B3" s="49" t="s">
        <v>1</v>
      </c>
      <c r="C3" s="50"/>
      <c r="D3" s="51"/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U3" t="s">
        <v>8</v>
      </c>
    </row>
    <row r="4" spans="1:25" x14ac:dyDescent="0.35">
      <c r="A4" s="4" t="s">
        <v>10</v>
      </c>
      <c r="B4" s="5" t="s">
        <v>11</v>
      </c>
      <c r="C4" s="5" t="s">
        <v>12</v>
      </c>
      <c r="D4" s="5" t="s">
        <v>13</v>
      </c>
      <c r="F4" s="6">
        <v>1</v>
      </c>
      <c r="G4" s="7">
        <v>1</v>
      </c>
      <c r="H4" s="8">
        <v>0</v>
      </c>
      <c r="I4" s="6">
        <f>F4*G4</f>
        <v>1</v>
      </c>
      <c r="J4" s="8">
        <f>F4*H4</f>
        <v>0</v>
      </c>
      <c r="K4" s="9">
        <v>128</v>
      </c>
      <c r="M4" s="13" t="s">
        <v>17</v>
      </c>
      <c r="N4" s="13"/>
    </row>
    <row r="5" spans="1:25" x14ac:dyDescent="0.35">
      <c r="A5" s="9" t="s">
        <v>14</v>
      </c>
      <c r="B5" s="9">
        <v>128</v>
      </c>
      <c r="C5" s="9">
        <v>166</v>
      </c>
      <c r="D5" s="9">
        <v>151</v>
      </c>
      <c r="F5" s="10">
        <v>1</v>
      </c>
      <c r="G5">
        <v>1</v>
      </c>
      <c r="H5" s="11">
        <v>0</v>
      </c>
      <c r="I5">
        <f>F5*G5</f>
        <v>1</v>
      </c>
      <c r="J5">
        <f>F5*H5</f>
        <v>0</v>
      </c>
      <c r="K5" s="12">
        <v>150</v>
      </c>
      <c r="M5" t="s">
        <v>18</v>
      </c>
      <c r="N5">
        <v>0.56029164944145027</v>
      </c>
      <c r="U5" t="s">
        <v>15</v>
      </c>
      <c r="V5" t="s">
        <v>11</v>
      </c>
      <c r="W5" t="s">
        <v>12</v>
      </c>
      <c r="X5" t="s">
        <v>13</v>
      </c>
      <c r="Y5" t="s">
        <v>16</v>
      </c>
    </row>
    <row r="6" spans="1:25" ht="15" thickBot="1" x14ac:dyDescent="0.4">
      <c r="A6" s="12"/>
      <c r="B6" s="12">
        <v>150</v>
      </c>
      <c r="C6" s="12">
        <v>178</v>
      </c>
      <c r="D6" s="12">
        <v>125</v>
      </c>
      <c r="F6" s="10">
        <v>1</v>
      </c>
      <c r="G6">
        <v>1</v>
      </c>
      <c r="H6" s="11">
        <v>0</v>
      </c>
      <c r="I6">
        <f>F6*G6</f>
        <v>1</v>
      </c>
      <c r="J6">
        <f>F6*H6</f>
        <v>0</v>
      </c>
      <c r="K6" s="12">
        <v>174</v>
      </c>
      <c r="M6" t="s">
        <v>20</v>
      </c>
      <c r="N6">
        <v>0.31392673243382097</v>
      </c>
      <c r="U6" s="14" t="s">
        <v>14</v>
      </c>
      <c r="V6" s="14"/>
      <c r="W6" s="14"/>
      <c r="X6" s="14"/>
      <c r="Y6" s="14"/>
    </row>
    <row r="7" spans="1:25" x14ac:dyDescent="0.35">
      <c r="A7" s="12"/>
      <c r="B7" s="12">
        <v>174</v>
      </c>
      <c r="C7" s="12">
        <v>187</v>
      </c>
      <c r="D7" s="12">
        <v>117</v>
      </c>
      <c r="F7" s="10">
        <v>1</v>
      </c>
      <c r="G7">
        <v>1</v>
      </c>
      <c r="H7" s="11">
        <v>0</v>
      </c>
      <c r="I7">
        <f>F7*G7</f>
        <v>1</v>
      </c>
      <c r="J7">
        <f>F7*H7</f>
        <v>0</v>
      </c>
      <c r="K7" s="12">
        <v>116</v>
      </c>
      <c r="M7" t="s">
        <v>22</v>
      </c>
      <c r="N7">
        <v>0.15057595444187358</v>
      </c>
      <c r="U7" t="s">
        <v>19</v>
      </c>
      <c r="V7">
        <v>5</v>
      </c>
      <c r="W7">
        <v>5</v>
      </c>
      <c r="X7">
        <v>5</v>
      </c>
      <c r="Y7">
        <v>15</v>
      </c>
    </row>
    <row r="8" spans="1:25" x14ac:dyDescent="0.35">
      <c r="A8" s="12"/>
      <c r="B8" s="12">
        <v>116</v>
      </c>
      <c r="C8" s="12">
        <v>153</v>
      </c>
      <c r="D8" s="12">
        <v>155</v>
      </c>
      <c r="F8" s="15">
        <v>1</v>
      </c>
      <c r="G8" s="16">
        <v>1</v>
      </c>
      <c r="H8" s="2">
        <v>0</v>
      </c>
      <c r="I8">
        <f>F8*G8</f>
        <v>1</v>
      </c>
      <c r="J8">
        <f>F8*H8</f>
        <v>0</v>
      </c>
      <c r="K8" s="17">
        <v>109</v>
      </c>
      <c r="M8" t="s">
        <v>24</v>
      </c>
      <c r="N8">
        <v>21.916182323092858</v>
      </c>
      <c r="U8" t="s">
        <v>21</v>
      </c>
      <c r="V8">
        <v>677</v>
      </c>
      <c r="W8">
        <v>879</v>
      </c>
      <c r="X8">
        <v>706</v>
      </c>
      <c r="Y8">
        <v>2262</v>
      </c>
    </row>
    <row r="9" spans="1:25" ht="15" thickBot="1" x14ac:dyDescent="0.4">
      <c r="A9" s="12"/>
      <c r="B9" s="17">
        <v>109</v>
      </c>
      <c r="C9" s="17"/>
      <c r="D9" s="17">
        <v>158</v>
      </c>
      <c r="F9" s="6">
        <v>-1</v>
      </c>
      <c r="G9" s="7">
        <v>1</v>
      </c>
      <c r="H9" s="8">
        <v>0</v>
      </c>
      <c r="I9" s="6">
        <f t="shared" ref="I9:I30" si="0">F9*G9</f>
        <v>-1</v>
      </c>
      <c r="J9" s="8">
        <f t="shared" ref="J9:J30" si="1">F9*H9</f>
        <v>0</v>
      </c>
      <c r="K9" s="9">
        <v>175</v>
      </c>
      <c r="M9" s="18" t="s">
        <v>27</v>
      </c>
      <c r="N9" s="18">
        <v>27</v>
      </c>
      <c r="U9" t="s">
        <v>23</v>
      </c>
      <c r="V9">
        <v>135.4</v>
      </c>
      <c r="W9">
        <v>175.8</v>
      </c>
      <c r="X9">
        <v>141.19999999999999</v>
      </c>
      <c r="Y9">
        <v>150.80000000000001</v>
      </c>
    </row>
    <row r="10" spans="1:25" x14ac:dyDescent="0.35">
      <c r="A10" s="9" t="s">
        <v>25</v>
      </c>
      <c r="B10" s="9">
        <v>175</v>
      </c>
      <c r="C10" s="9">
        <v>140</v>
      </c>
      <c r="D10" s="9">
        <v>167</v>
      </c>
      <c r="F10" s="10">
        <v>-1</v>
      </c>
      <c r="G10">
        <v>1</v>
      </c>
      <c r="H10" s="11">
        <v>0</v>
      </c>
      <c r="I10">
        <f t="shared" si="0"/>
        <v>-1</v>
      </c>
      <c r="J10">
        <f t="shared" si="1"/>
        <v>0</v>
      </c>
      <c r="K10" s="12">
        <v>132</v>
      </c>
      <c r="U10" t="s">
        <v>26</v>
      </c>
      <c r="V10">
        <v>707.79999999999927</v>
      </c>
      <c r="W10">
        <v>278.7</v>
      </c>
      <c r="X10">
        <v>354.20000000000073</v>
      </c>
      <c r="Y10">
        <v>723.88571428571595</v>
      </c>
    </row>
    <row r="11" spans="1:25" ht="15" thickBot="1" x14ac:dyDescent="0.4">
      <c r="A11" s="12"/>
      <c r="B11" s="12">
        <v>132</v>
      </c>
      <c r="C11" s="12">
        <v>145</v>
      </c>
      <c r="D11" s="12">
        <v>183</v>
      </c>
      <c r="F11" s="10">
        <v>-1</v>
      </c>
      <c r="G11">
        <v>1</v>
      </c>
      <c r="H11" s="11">
        <v>0</v>
      </c>
      <c r="I11">
        <f t="shared" si="0"/>
        <v>-1</v>
      </c>
      <c r="J11">
        <f t="shared" si="1"/>
        <v>0</v>
      </c>
      <c r="K11" s="12">
        <v>120</v>
      </c>
      <c r="M11" t="s">
        <v>28</v>
      </c>
    </row>
    <row r="12" spans="1:25" ht="15" thickBot="1" x14ac:dyDescent="0.4">
      <c r="A12" s="12"/>
      <c r="B12" s="12">
        <v>120</v>
      </c>
      <c r="C12" s="12">
        <v>159</v>
      </c>
      <c r="D12" s="12">
        <v>142</v>
      </c>
      <c r="F12" s="10">
        <v>-1</v>
      </c>
      <c r="G12">
        <v>1</v>
      </c>
      <c r="H12" s="11">
        <v>0</v>
      </c>
      <c r="I12">
        <f t="shared" si="0"/>
        <v>-1</v>
      </c>
      <c r="J12">
        <f t="shared" si="1"/>
        <v>0</v>
      </c>
      <c r="K12" s="12">
        <v>187</v>
      </c>
      <c r="M12" s="19"/>
      <c r="N12" s="19" t="s">
        <v>29</v>
      </c>
      <c r="O12" s="19" t="s">
        <v>30</v>
      </c>
      <c r="P12" s="19" t="s">
        <v>31</v>
      </c>
      <c r="Q12" s="19" t="s">
        <v>32</v>
      </c>
      <c r="R12" s="19" t="s">
        <v>33</v>
      </c>
      <c r="U12" s="14" t="s">
        <v>25</v>
      </c>
      <c r="V12" s="14"/>
      <c r="W12" s="14"/>
      <c r="X12" s="14"/>
      <c r="Y12" s="14"/>
    </row>
    <row r="13" spans="1:25" x14ac:dyDescent="0.35">
      <c r="A13" s="12"/>
      <c r="B13" s="12">
        <v>187</v>
      </c>
      <c r="C13" s="12">
        <v>131</v>
      </c>
      <c r="D13" s="12">
        <v>167</v>
      </c>
      <c r="F13" s="15">
        <v>-1</v>
      </c>
      <c r="G13" s="16">
        <v>1</v>
      </c>
      <c r="H13" s="2">
        <v>0</v>
      </c>
      <c r="I13">
        <f t="shared" si="0"/>
        <v>-1</v>
      </c>
      <c r="J13">
        <f t="shared" si="1"/>
        <v>0</v>
      </c>
      <c r="K13" s="17">
        <v>184</v>
      </c>
      <c r="M13" t="s">
        <v>34</v>
      </c>
      <c r="N13">
        <v>5</v>
      </c>
      <c r="O13">
        <v>4615.3740740740668</v>
      </c>
      <c r="P13">
        <v>923.07481481481341</v>
      </c>
      <c r="Q13">
        <v>1.9217951471850134</v>
      </c>
      <c r="R13">
        <v>0.13335730785056746</v>
      </c>
      <c r="U13" t="s">
        <v>19</v>
      </c>
      <c r="V13">
        <v>5</v>
      </c>
      <c r="W13">
        <v>5</v>
      </c>
      <c r="X13">
        <v>5</v>
      </c>
      <c r="Y13">
        <v>15</v>
      </c>
    </row>
    <row r="14" spans="1:25" x14ac:dyDescent="0.35">
      <c r="A14" s="17"/>
      <c r="B14" s="17">
        <v>184</v>
      </c>
      <c r="C14" s="17"/>
      <c r="D14" s="17"/>
      <c r="F14" s="6">
        <v>1</v>
      </c>
      <c r="G14" s="7">
        <v>0</v>
      </c>
      <c r="H14" s="8">
        <v>1</v>
      </c>
      <c r="I14" s="6">
        <f t="shared" si="0"/>
        <v>0</v>
      </c>
      <c r="J14" s="8">
        <f t="shared" si="1"/>
        <v>1</v>
      </c>
      <c r="K14" s="9">
        <v>166</v>
      </c>
      <c r="M14" t="s">
        <v>35</v>
      </c>
      <c r="N14">
        <v>21</v>
      </c>
      <c r="O14">
        <v>10086.700000000004</v>
      </c>
      <c r="P14">
        <v>480.31904761904781</v>
      </c>
      <c r="U14" t="s">
        <v>21</v>
      </c>
      <c r="V14">
        <v>798</v>
      </c>
      <c r="W14">
        <v>701</v>
      </c>
      <c r="X14">
        <v>827</v>
      </c>
      <c r="Y14">
        <v>2326</v>
      </c>
    </row>
    <row r="15" spans="1:25" ht="15" thickBot="1" x14ac:dyDescent="0.4">
      <c r="F15" s="10">
        <v>1</v>
      </c>
      <c r="G15">
        <v>0</v>
      </c>
      <c r="H15" s="11">
        <v>1</v>
      </c>
      <c r="I15">
        <f t="shared" si="0"/>
        <v>0</v>
      </c>
      <c r="J15">
        <f t="shared" si="1"/>
        <v>1</v>
      </c>
      <c r="K15" s="12">
        <v>178</v>
      </c>
      <c r="M15" s="18" t="s">
        <v>16</v>
      </c>
      <c r="N15" s="18">
        <v>26</v>
      </c>
      <c r="O15" s="18">
        <v>14702.074074074071</v>
      </c>
      <c r="P15" s="18"/>
      <c r="Q15" s="18"/>
      <c r="R15" s="18"/>
      <c r="U15" t="s">
        <v>23</v>
      </c>
      <c r="V15">
        <v>159.6</v>
      </c>
      <c r="W15">
        <v>140.19999999999999</v>
      </c>
      <c r="X15">
        <v>165.4</v>
      </c>
      <c r="Y15">
        <v>155.06666666666666</v>
      </c>
    </row>
    <row r="16" spans="1:25" ht="15" thickBot="1" x14ac:dyDescent="0.4">
      <c r="A16" t="s">
        <v>66</v>
      </c>
      <c r="F16" s="10">
        <v>1</v>
      </c>
      <c r="G16">
        <v>0</v>
      </c>
      <c r="H16" s="11">
        <v>1</v>
      </c>
      <c r="I16">
        <f t="shared" si="0"/>
        <v>0</v>
      </c>
      <c r="J16">
        <f t="shared" si="1"/>
        <v>1</v>
      </c>
      <c r="K16" s="12">
        <v>187</v>
      </c>
      <c r="U16" t="s">
        <v>26</v>
      </c>
      <c r="V16">
        <v>978.29999999999927</v>
      </c>
      <c r="W16">
        <v>165.7</v>
      </c>
      <c r="X16">
        <v>217.3</v>
      </c>
      <c r="Y16">
        <v>513.35238095238208</v>
      </c>
    </row>
    <row r="17" spans="1:27" x14ac:dyDescent="0.35">
      <c r="A17" t="s">
        <v>67</v>
      </c>
      <c r="F17" s="10">
        <v>1</v>
      </c>
      <c r="G17">
        <v>0</v>
      </c>
      <c r="H17" s="11">
        <v>1</v>
      </c>
      <c r="I17">
        <f t="shared" si="0"/>
        <v>0</v>
      </c>
      <c r="J17">
        <f t="shared" si="1"/>
        <v>1</v>
      </c>
      <c r="K17" s="12">
        <v>153</v>
      </c>
      <c r="M17" s="19"/>
      <c r="N17" s="19" t="s">
        <v>39</v>
      </c>
      <c r="O17" s="19" t="s">
        <v>24</v>
      </c>
      <c r="P17" s="19" t="s">
        <v>40</v>
      </c>
      <c r="Q17" s="19" t="s">
        <v>41</v>
      </c>
      <c r="R17" s="19" t="s">
        <v>42</v>
      </c>
      <c r="S17" s="19" t="s">
        <v>43</v>
      </c>
    </row>
    <row r="18" spans="1:27" ht="15" thickBot="1" x14ac:dyDescent="0.4">
      <c r="A18" t="s">
        <v>68</v>
      </c>
      <c r="F18" s="6">
        <v>-1</v>
      </c>
      <c r="G18" s="7">
        <v>0</v>
      </c>
      <c r="H18" s="8">
        <v>1</v>
      </c>
      <c r="I18" s="6">
        <f t="shared" si="0"/>
        <v>0</v>
      </c>
      <c r="J18" s="8">
        <f t="shared" si="1"/>
        <v>-1</v>
      </c>
      <c r="K18" s="9">
        <v>140</v>
      </c>
      <c r="M18" t="s">
        <v>44</v>
      </c>
      <c r="N18">
        <v>152.61666666666667</v>
      </c>
      <c r="O18">
        <v>4.2440504574892008</v>
      </c>
      <c r="P18">
        <v>35.960144252609894</v>
      </c>
      <c r="Q18">
        <v>2.3792900077186923E-20</v>
      </c>
      <c r="R18">
        <v>143.7906805775493</v>
      </c>
      <c r="S18">
        <v>161.44265275578405</v>
      </c>
      <c r="U18" s="14" t="s">
        <v>16</v>
      </c>
      <c r="V18" s="14"/>
      <c r="W18" s="14"/>
      <c r="X18" s="14"/>
    </row>
    <row r="19" spans="1:27" x14ac:dyDescent="0.35">
      <c r="F19" s="10">
        <v>-1</v>
      </c>
      <c r="G19">
        <v>0</v>
      </c>
      <c r="H19" s="11">
        <v>1</v>
      </c>
      <c r="I19">
        <f t="shared" si="0"/>
        <v>0</v>
      </c>
      <c r="J19">
        <f t="shared" si="1"/>
        <v>-1</v>
      </c>
      <c r="K19" s="12">
        <v>145</v>
      </c>
      <c r="M19" t="s">
        <v>2</v>
      </c>
      <c r="N19">
        <v>-3.4166666666666652</v>
      </c>
      <c r="O19">
        <v>4.2440504574892017</v>
      </c>
      <c r="P19">
        <v>-0.80504854993830111</v>
      </c>
      <c r="Q19">
        <v>0.42981280716326731</v>
      </c>
      <c r="R19">
        <v>-12.242652755784054</v>
      </c>
      <c r="S19">
        <v>5.4093194224507224</v>
      </c>
      <c r="U19" t="s">
        <v>19</v>
      </c>
      <c r="V19">
        <v>10</v>
      </c>
      <c r="W19">
        <v>10</v>
      </c>
      <c r="X19">
        <v>10</v>
      </c>
    </row>
    <row r="20" spans="1:27" x14ac:dyDescent="0.35">
      <c r="F20" s="10">
        <v>-1</v>
      </c>
      <c r="G20">
        <v>0</v>
      </c>
      <c r="H20" s="11">
        <v>1</v>
      </c>
      <c r="I20">
        <f t="shared" si="0"/>
        <v>0</v>
      </c>
      <c r="J20">
        <f t="shared" si="1"/>
        <v>-1</v>
      </c>
      <c r="K20" s="12">
        <v>159</v>
      </c>
      <c r="M20" t="s">
        <v>3</v>
      </c>
      <c r="N20">
        <v>-5.1166666666666645</v>
      </c>
      <c r="O20">
        <v>5.8328894388929777</v>
      </c>
      <c r="P20">
        <v>-0.87720960945177029</v>
      </c>
      <c r="Q20">
        <v>0.39029810809252885</v>
      </c>
      <c r="R20">
        <v>-17.246824298554369</v>
      </c>
      <c r="S20">
        <v>7.0134909652210409</v>
      </c>
      <c r="U20" t="s">
        <v>21</v>
      </c>
      <c r="V20">
        <v>1475</v>
      </c>
      <c r="W20">
        <v>1580</v>
      </c>
      <c r="X20">
        <v>1533</v>
      </c>
    </row>
    <row r="21" spans="1:27" x14ac:dyDescent="0.35">
      <c r="F21" s="10">
        <v>-1</v>
      </c>
      <c r="G21">
        <v>0</v>
      </c>
      <c r="H21" s="11">
        <v>1</v>
      </c>
      <c r="I21">
        <f t="shared" si="0"/>
        <v>0</v>
      </c>
      <c r="J21">
        <f t="shared" si="1"/>
        <v>-1</v>
      </c>
      <c r="K21" s="12">
        <v>131</v>
      </c>
      <c r="M21" t="s">
        <v>4</v>
      </c>
      <c r="N21">
        <v>4.7583333333333293</v>
      </c>
      <c r="O21">
        <v>6.1664623518276622</v>
      </c>
      <c r="P21">
        <v>0.7716471879412381</v>
      </c>
      <c r="Q21">
        <v>0.44892011727768966</v>
      </c>
      <c r="R21">
        <v>-8.0655271465194875</v>
      </c>
      <c r="S21">
        <v>17.582193813186144</v>
      </c>
      <c r="U21" t="s">
        <v>23</v>
      </c>
      <c r="V21">
        <v>147.5</v>
      </c>
      <c r="W21">
        <v>158</v>
      </c>
      <c r="X21">
        <v>153.30000000000001</v>
      </c>
    </row>
    <row r="22" spans="1:27" x14ac:dyDescent="0.35">
      <c r="F22" s="6">
        <v>1</v>
      </c>
      <c r="G22" s="7">
        <v>-1</v>
      </c>
      <c r="H22" s="8">
        <v>-1</v>
      </c>
      <c r="I22" s="6">
        <f t="shared" si="0"/>
        <v>-1</v>
      </c>
      <c r="J22" s="8">
        <f t="shared" si="1"/>
        <v>-1</v>
      </c>
      <c r="K22" s="9">
        <v>151</v>
      </c>
      <c r="M22" t="s">
        <v>5</v>
      </c>
      <c r="N22">
        <v>-8.6833333333333318</v>
      </c>
      <c r="O22">
        <v>5.832889438892976</v>
      </c>
      <c r="P22">
        <v>-1.4886847118057738</v>
      </c>
      <c r="Q22">
        <v>0.15143508092319719</v>
      </c>
      <c r="R22">
        <v>-20.813490965221035</v>
      </c>
      <c r="S22">
        <v>3.44682429855437</v>
      </c>
      <c r="U22" t="s">
        <v>26</v>
      </c>
      <c r="V22">
        <v>912.05555555555554</v>
      </c>
      <c r="W22">
        <v>549.55555555555554</v>
      </c>
      <c r="X22">
        <v>416.67777777777843</v>
      </c>
    </row>
    <row r="23" spans="1:27" ht="15" thickBot="1" x14ac:dyDescent="0.4">
      <c r="F23" s="10">
        <v>1</v>
      </c>
      <c r="G23">
        <v>-1</v>
      </c>
      <c r="H23" s="11">
        <v>-1</v>
      </c>
      <c r="I23">
        <f t="shared" si="0"/>
        <v>-1</v>
      </c>
      <c r="J23">
        <f t="shared" si="1"/>
        <v>-1</v>
      </c>
      <c r="K23" s="12">
        <v>125</v>
      </c>
      <c r="M23" s="18" t="s">
        <v>6</v>
      </c>
      <c r="N23" s="18">
        <v>17.041666666666668</v>
      </c>
      <c r="O23" s="18">
        <v>6.1664623518276622</v>
      </c>
      <c r="P23" s="18">
        <v>2.7636050776529482</v>
      </c>
      <c r="Q23" s="18">
        <v>1.1640056661955401E-2</v>
      </c>
      <c r="R23" s="18">
        <v>4.217806186813851</v>
      </c>
      <c r="S23" s="18">
        <v>29.865527146519483</v>
      </c>
    </row>
    <row r="24" spans="1:27" x14ac:dyDescent="0.35">
      <c r="F24" s="10">
        <v>1</v>
      </c>
      <c r="G24">
        <v>-1</v>
      </c>
      <c r="H24" s="11">
        <v>-1</v>
      </c>
      <c r="I24">
        <f t="shared" si="0"/>
        <v>-1</v>
      </c>
      <c r="J24">
        <f t="shared" si="1"/>
        <v>-1</v>
      </c>
      <c r="K24" s="12">
        <v>117</v>
      </c>
    </row>
    <row r="25" spans="1:27" ht="15" thickBot="1" x14ac:dyDescent="0.4">
      <c r="F25" s="10">
        <v>1</v>
      </c>
      <c r="G25">
        <v>-1</v>
      </c>
      <c r="H25" s="11">
        <v>-1</v>
      </c>
      <c r="I25">
        <f t="shared" si="0"/>
        <v>-1</v>
      </c>
      <c r="J25">
        <f t="shared" si="1"/>
        <v>-1</v>
      </c>
      <c r="K25" s="12">
        <v>155</v>
      </c>
      <c r="M25" s="20" t="s">
        <v>69</v>
      </c>
      <c r="U25" t="s">
        <v>28</v>
      </c>
    </row>
    <row r="26" spans="1:27" x14ac:dyDescent="0.35">
      <c r="F26" s="15">
        <v>1</v>
      </c>
      <c r="G26" s="16">
        <v>-1</v>
      </c>
      <c r="H26" s="2">
        <v>-1</v>
      </c>
      <c r="I26">
        <f t="shared" si="0"/>
        <v>-1</v>
      </c>
      <c r="J26">
        <f t="shared" si="1"/>
        <v>-1</v>
      </c>
      <c r="K26" s="17">
        <v>158</v>
      </c>
      <c r="U26" s="19" t="s">
        <v>45</v>
      </c>
      <c r="V26" s="19" t="s">
        <v>30</v>
      </c>
      <c r="W26" s="19" t="s">
        <v>29</v>
      </c>
      <c r="X26" s="19" t="s">
        <v>31</v>
      </c>
      <c r="Y26" s="19" t="s">
        <v>32</v>
      </c>
      <c r="Z26" s="19" t="s">
        <v>41</v>
      </c>
      <c r="AA26" s="19" t="s">
        <v>46</v>
      </c>
    </row>
    <row r="27" spans="1:27" x14ac:dyDescent="0.35">
      <c r="F27" s="6">
        <v>-1</v>
      </c>
      <c r="G27" s="7">
        <v>-1</v>
      </c>
      <c r="H27" s="8">
        <v>-1</v>
      </c>
      <c r="I27" s="6">
        <f t="shared" si="0"/>
        <v>1</v>
      </c>
      <c r="J27" s="8">
        <f t="shared" si="1"/>
        <v>1</v>
      </c>
      <c r="K27" s="9">
        <v>167</v>
      </c>
      <c r="M27" t="s">
        <v>9</v>
      </c>
      <c r="U27" t="s">
        <v>48</v>
      </c>
      <c r="V27">
        <v>136.53333333333285</v>
      </c>
      <c r="W27">
        <v>1</v>
      </c>
      <c r="X27">
        <v>136.53333333333285</v>
      </c>
      <c r="Y27">
        <v>0.30318282753515807</v>
      </c>
      <c r="Z27">
        <v>0.58698317897716845</v>
      </c>
      <c r="AA27">
        <v>4.2596772726902348</v>
      </c>
    </row>
    <row r="28" spans="1:27" ht="15" thickBot="1" x14ac:dyDescent="0.4">
      <c r="F28" s="10">
        <v>-1</v>
      </c>
      <c r="G28">
        <v>-1</v>
      </c>
      <c r="H28" s="11">
        <v>-1</v>
      </c>
      <c r="I28" s="10">
        <f t="shared" si="0"/>
        <v>1</v>
      </c>
      <c r="J28" s="11">
        <f t="shared" si="1"/>
        <v>1</v>
      </c>
      <c r="K28" s="12">
        <v>183</v>
      </c>
      <c r="U28" t="s">
        <v>49</v>
      </c>
      <c r="V28">
        <v>553.26666666666642</v>
      </c>
      <c r="W28">
        <v>2</v>
      </c>
      <c r="X28">
        <v>276.63333333333321</v>
      </c>
      <c r="Y28">
        <v>0.61428571428571399</v>
      </c>
      <c r="Z28">
        <v>0.54931693706660334</v>
      </c>
      <c r="AA28">
        <v>3.4028261053501945</v>
      </c>
    </row>
    <row r="29" spans="1:27" x14ac:dyDescent="0.35">
      <c r="F29" s="10">
        <v>-1</v>
      </c>
      <c r="G29">
        <v>-1</v>
      </c>
      <c r="H29" s="11">
        <v>-1</v>
      </c>
      <c r="I29" s="10">
        <f t="shared" si="0"/>
        <v>1</v>
      </c>
      <c r="J29" s="11">
        <f t="shared" si="1"/>
        <v>1</v>
      </c>
      <c r="K29" s="12">
        <v>142</v>
      </c>
      <c r="M29" s="13" t="s">
        <v>17</v>
      </c>
      <c r="N29" s="13"/>
      <c r="U29" t="s">
        <v>51</v>
      </c>
      <c r="V29">
        <v>5960.0666666666657</v>
      </c>
      <c r="W29">
        <v>2</v>
      </c>
      <c r="X29">
        <v>2980.0333333333328</v>
      </c>
      <c r="Y29">
        <v>6.6173945225758688</v>
      </c>
      <c r="Z29">
        <v>5.1421901060349955E-3</v>
      </c>
      <c r="AA29">
        <v>3.4028261053501945</v>
      </c>
    </row>
    <row r="30" spans="1:27" x14ac:dyDescent="0.35">
      <c r="F30" s="15">
        <v>-1</v>
      </c>
      <c r="G30" s="16">
        <v>-1</v>
      </c>
      <c r="H30" s="2">
        <v>-1</v>
      </c>
      <c r="I30" s="15">
        <f t="shared" si="0"/>
        <v>1</v>
      </c>
      <c r="J30" s="2">
        <f t="shared" si="1"/>
        <v>1</v>
      </c>
      <c r="K30" s="17">
        <v>167</v>
      </c>
      <c r="M30" t="s">
        <v>18</v>
      </c>
      <c r="N30">
        <v>0.25284299482842942</v>
      </c>
      <c r="U30" t="s">
        <v>52</v>
      </c>
      <c r="V30">
        <v>10808</v>
      </c>
      <c r="W30">
        <v>24</v>
      </c>
      <c r="X30">
        <v>450.33333333333331</v>
      </c>
    </row>
    <row r="31" spans="1:27" x14ac:dyDescent="0.35">
      <c r="M31" t="s">
        <v>20</v>
      </c>
      <c r="N31">
        <v>6.3929580033809177E-2</v>
      </c>
    </row>
    <row r="32" spans="1:27" ht="15" thickBot="1" x14ac:dyDescent="0.4">
      <c r="F32" t="s">
        <v>70</v>
      </c>
      <c r="M32" t="s">
        <v>22</v>
      </c>
      <c r="N32">
        <v>-5.8166561700911369E-2</v>
      </c>
      <c r="U32" s="18" t="s">
        <v>16</v>
      </c>
      <c r="V32" s="18">
        <v>17457.866666666665</v>
      </c>
      <c r="W32" s="18">
        <v>29</v>
      </c>
      <c r="X32" s="18"/>
      <c r="Y32" s="18"/>
      <c r="Z32" s="18"/>
      <c r="AA32" s="18"/>
    </row>
    <row r="33" spans="6:23" x14ac:dyDescent="0.35">
      <c r="M33" t="s">
        <v>24</v>
      </c>
      <c r="N33">
        <v>24.46130631522983</v>
      </c>
    </row>
    <row r="34" spans="6:23" ht="15" thickBot="1" x14ac:dyDescent="0.4">
      <c r="G34" s="3" t="s">
        <v>11</v>
      </c>
      <c r="H34" s="3" t="s">
        <v>12</v>
      </c>
      <c r="I34" s="3" t="s">
        <v>13</v>
      </c>
      <c r="M34" s="18" t="s">
        <v>27</v>
      </c>
      <c r="N34" s="18">
        <v>27</v>
      </c>
      <c r="V34" t="s">
        <v>56</v>
      </c>
      <c r="W34">
        <f>V32/W32</f>
        <v>601.99540229885054</v>
      </c>
    </row>
    <row r="35" spans="6:23" x14ac:dyDescent="0.35">
      <c r="F35" t="s">
        <v>14</v>
      </c>
      <c r="G35" s="6">
        <f>AVERAGE(B5:B9)</f>
        <v>135.4</v>
      </c>
      <c r="H35" s="7">
        <f>AVERAGE(C5:C9)</f>
        <v>171</v>
      </c>
      <c r="I35" s="8">
        <f>AVERAGE(D5:D9)</f>
        <v>141.19999999999999</v>
      </c>
      <c r="J35">
        <f>AVERAGE(G35:I35)</f>
        <v>149.19999999999999</v>
      </c>
      <c r="V35" t="s">
        <v>47</v>
      </c>
      <c r="W35">
        <f>1-V30/V32</f>
        <v>0.38090946583775021</v>
      </c>
    </row>
    <row r="36" spans="6:23" ht="15" thickBot="1" x14ac:dyDescent="0.4">
      <c r="F36" t="s">
        <v>25</v>
      </c>
      <c r="G36" s="15">
        <f>AVERAGE(B10:B14)</f>
        <v>159.6</v>
      </c>
      <c r="H36" s="16">
        <f>AVERAGE(C10:C14)</f>
        <v>143.75</v>
      </c>
      <c r="I36" s="2">
        <f>AVERAGE(D10:D14)</f>
        <v>164.75</v>
      </c>
      <c r="J36">
        <f>AVERAGE(G36:I36)</f>
        <v>156.03333333333333</v>
      </c>
      <c r="M36" t="s">
        <v>28</v>
      </c>
    </row>
    <row r="37" spans="6:23" x14ac:dyDescent="0.35">
      <c r="G37">
        <f>AVERAGE(G35:G36)</f>
        <v>147.5</v>
      </c>
      <c r="H37">
        <f>AVERAGE(H35:H36)</f>
        <v>157.375</v>
      </c>
      <c r="I37">
        <f>AVERAGE(I35:I36)</f>
        <v>152.97499999999999</v>
      </c>
      <c r="J37">
        <f>AVERAGE(J35:J36)</f>
        <v>152.61666666666667</v>
      </c>
      <c r="M37" s="19"/>
      <c r="N37" s="19" t="s">
        <v>29</v>
      </c>
      <c r="O37" s="19" t="s">
        <v>30</v>
      </c>
      <c r="P37" s="19" t="s">
        <v>31</v>
      </c>
      <c r="Q37" s="19" t="s">
        <v>32</v>
      </c>
      <c r="R37" s="19" t="s">
        <v>33</v>
      </c>
    </row>
    <row r="38" spans="6:23" x14ac:dyDescent="0.35">
      <c r="M38" t="s">
        <v>34</v>
      </c>
      <c r="N38">
        <v>3</v>
      </c>
      <c r="O38">
        <v>939.89742118150934</v>
      </c>
      <c r="P38">
        <v>313.29914039383647</v>
      </c>
      <c r="Q38">
        <v>0.52360032942490187</v>
      </c>
      <c r="R38">
        <v>0.67037893748451094</v>
      </c>
    </row>
    <row r="39" spans="6:23" x14ac:dyDescent="0.35">
      <c r="F39" t="s">
        <v>71</v>
      </c>
      <c r="M39" t="s">
        <v>35</v>
      </c>
      <c r="N39">
        <v>23</v>
      </c>
      <c r="O39">
        <v>13762.176652892562</v>
      </c>
      <c r="P39">
        <v>598.35550664750269</v>
      </c>
    </row>
    <row r="40" spans="6:23" ht="15" thickBot="1" x14ac:dyDescent="0.4">
      <c r="M40" s="18" t="s">
        <v>16</v>
      </c>
      <c r="N40" s="18">
        <v>26</v>
      </c>
      <c r="O40" s="18">
        <v>14702.074074074071</v>
      </c>
      <c r="P40" s="18"/>
      <c r="Q40" s="18"/>
      <c r="R40" s="18"/>
    </row>
    <row r="41" spans="6:23" ht="15" thickBot="1" x14ac:dyDescent="0.4">
      <c r="F41" t="s">
        <v>59</v>
      </c>
      <c r="G41">
        <f>J37</f>
        <v>152.61666666666667</v>
      </c>
    </row>
    <row r="42" spans="6:23" x14ac:dyDescent="0.35">
      <c r="F42" t="s">
        <v>62</v>
      </c>
      <c r="G42">
        <f>J35-J37</f>
        <v>-3.4166666666666856</v>
      </c>
      <c r="M42" s="19"/>
      <c r="N42" s="19" t="s">
        <v>39</v>
      </c>
      <c r="O42" s="19" t="s">
        <v>24</v>
      </c>
      <c r="P42" s="19" t="s">
        <v>40</v>
      </c>
      <c r="Q42" s="19" t="s">
        <v>41</v>
      </c>
      <c r="R42" s="19" t="s">
        <v>42</v>
      </c>
      <c r="S42" s="19" t="s">
        <v>43</v>
      </c>
    </row>
    <row r="43" spans="6:23" x14ac:dyDescent="0.35">
      <c r="F43" t="s">
        <v>61</v>
      </c>
      <c r="G43">
        <f>G37-J37</f>
        <v>-5.1166666666666742</v>
      </c>
      <c r="M43" t="s">
        <v>44</v>
      </c>
      <c r="N43">
        <v>152.34125344352617</v>
      </c>
      <c r="O43">
        <v>4.7303824278681619</v>
      </c>
      <c r="P43">
        <v>32.204849347071011</v>
      </c>
      <c r="Q43">
        <v>1.2270731664950653E-20</v>
      </c>
      <c r="R43">
        <v>142.55571183392416</v>
      </c>
      <c r="S43">
        <v>162.12679505312818</v>
      </c>
    </row>
    <row r="44" spans="6:23" x14ac:dyDescent="0.35">
      <c r="F44" t="s">
        <v>60</v>
      </c>
      <c r="G44">
        <f>H37-J37</f>
        <v>4.7583333333333258</v>
      </c>
      <c r="M44" t="s">
        <v>2</v>
      </c>
      <c r="N44">
        <v>-4.3388429752066129</v>
      </c>
      <c r="O44">
        <v>4.717296974231</v>
      </c>
      <c r="P44">
        <v>-0.91977312408106726</v>
      </c>
      <c r="Q44">
        <v>0.36723788404834612</v>
      </c>
      <c r="R44">
        <v>-14.097315261556325</v>
      </c>
      <c r="S44">
        <v>5.4196293111430984</v>
      </c>
    </row>
    <row r="45" spans="6:23" x14ac:dyDescent="0.35">
      <c r="F45" t="s">
        <v>65</v>
      </c>
      <c r="G45">
        <f>G35-J35-G37+J37</f>
        <v>-8.6833333333333087</v>
      </c>
      <c r="M45" t="s">
        <v>3</v>
      </c>
      <c r="N45">
        <v>-4.8412534435261785</v>
      </c>
      <c r="O45">
        <v>6.5055131595286655</v>
      </c>
      <c r="P45">
        <v>-0.74417702720886281</v>
      </c>
      <c r="Q45">
        <v>0.46430515688438911</v>
      </c>
      <c r="R45">
        <v>-18.298932750666424</v>
      </c>
      <c r="S45">
        <v>8.6164258636140687</v>
      </c>
    </row>
    <row r="46" spans="6:23" ht="15" thickBot="1" x14ac:dyDescent="0.4">
      <c r="F46" t="s">
        <v>63</v>
      </c>
      <c r="G46">
        <f>H35-J35-H37+J37</f>
        <v>17.041666666666686</v>
      </c>
      <c r="M46" s="18" t="s">
        <v>4</v>
      </c>
      <c r="N46" s="18">
        <v>5.0337465564738348</v>
      </c>
      <c r="O46" s="18">
        <v>6.8780809356629291</v>
      </c>
      <c r="P46" s="18">
        <v>0.73185334740302355</v>
      </c>
      <c r="Q46" s="18">
        <v>0.47165002115399124</v>
      </c>
      <c r="R46" s="18">
        <v>-9.1946479161634578</v>
      </c>
      <c r="S46" s="18">
        <v>19.262141029111127</v>
      </c>
    </row>
    <row r="48" spans="6:23" x14ac:dyDescent="0.35">
      <c r="F48" s="3" t="s">
        <v>3</v>
      </c>
      <c r="G48" s="3" t="s">
        <v>4</v>
      </c>
      <c r="H48" s="3" t="s">
        <v>2</v>
      </c>
      <c r="I48" s="3" t="s">
        <v>5</v>
      </c>
      <c r="J48" s="3" t="s">
        <v>6</v>
      </c>
      <c r="K48" s="3" t="s">
        <v>7</v>
      </c>
      <c r="M48" s="20" t="s">
        <v>72</v>
      </c>
    </row>
    <row r="49" spans="6:18" x14ac:dyDescent="0.35">
      <c r="F49" s="6">
        <v>1</v>
      </c>
      <c r="G49" s="8">
        <v>0</v>
      </c>
      <c r="H49" s="6">
        <v>1</v>
      </c>
      <c r="I49" s="6">
        <f t="shared" ref="I49:I75" si="2">H49*F49</f>
        <v>1</v>
      </c>
      <c r="J49" s="8">
        <f t="shared" ref="J49:J75" si="3">H49*G49</f>
        <v>0</v>
      </c>
      <c r="K49" s="9">
        <v>128</v>
      </c>
    </row>
    <row r="50" spans="6:18" x14ac:dyDescent="0.35">
      <c r="F50" s="10">
        <v>1</v>
      </c>
      <c r="G50" s="11">
        <v>0</v>
      </c>
      <c r="H50" s="10">
        <v>1</v>
      </c>
      <c r="I50" s="10">
        <f t="shared" si="2"/>
        <v>1</v>
      </c>
      <c r="J50">
        <f t="shared" si="3"/>
        <v>0</v>
      </c>
      <c r="K50" s="12">
        <v>150</v>
      </c>
      <c r="M50" t="s">
        <v>9</v>
      </c>
    </row>
    <row r="51" spans="6:18" ht="15" thickBot="1" x14ac:dyDescent="0.4">
      <c r="F51" s="10">
        <v>1</v>
      </c>
      <c r="G51" s="11">
        <v>0</v>
      </c>
      <c r="H51" s="10">
        <v>1</v>
      </c>
      <c r="I51" s="10">
        <f t="shared" si="2"/>
        <v>1</v>
      </c>
      <c r="J51">
        <f t="shared" si="3"/>
        <v>0</v>
      </c>
      <c r="K51" s="12">
        <v>174</v>
      </c>
    </row>
    <row r="52" spans="6:18" x14ac:dyDescent="0.35">
      <c r="F52" s="10">
        <v>1</v>
      </c>
      <c r="G52" s="11">
        <v>0</v>
      </c>
      <c r="H52" s="10">
        <v>1</v>
      </c>
      <c r="I52" s="10">
        <f t="shared" si="2"/>
        <v>1</v>
      </c>
      <c r="J52">
        <f t="shared" si="3"/>
        <v>0</v>
      </c>
      <c r="K52" s="12">
        <v>116</v>
      </c>
      <c r="M52" s="13" t="s">
        <v>17</v>
      </c>
      <c r="N52" s="13"/>
    </row>
    <row r="53" spans="6:18" x14ac:dyDescent="0.35">
      <c r="F53" s="15">
        <v>1</v>
      </c>
      <c r="G53" s="2">
        <v>0</v>
      </c>
      <c r="H53" s="15">
        <v>1</v>
      </c>
      <c r="I53" s="10">
        <f t="shared" si="2"/>
        <v>1</v>
      </c>
      <c r="J53">
        <f t="shared" si="3"/>
        <v>0</v>
      </c>
      <c r="K53" s="17">
        <v>109</v>
      </c>
      <c r="M53" t="s">
        <v>18</v>
      </c>
      <c r="N53">
        <v>0.53288861079418526</v>
      </c>
    </row>
    <row r="54" spans="6:18" x14ac:dyDescent="0.35">
      <c r="F54" s="6">
        <v>1</v>
      </c>
      <c r="G54" s="8">
        <v>0</v>
      </c>
      <c r="H54" s="6">
        <v>-1</v>
      </c>
      <c r="I54" s="6">
        <f t="shared" si="2"/>
        <v>-1</v>
      </c>
      <c r="J54" s="8">
        <f t="shared" si="3"/>
        <v>0</v>
      </c>
      <c r="K54" s="9">
        <v>175</v>
      </c>
      <c r="M54" t="s">
        <v>20</v>
      </c>
      <c r="N54">
        <v>0.28397027151415666</v>
      </c>
    </row>
    <row r="55" spans="6:18" x14ac:dyDescent="0.35">
      <c r="F55" s="10">
        <v>1</v>
      </c>
      <c r="G55" s="11">
        <v>0</v>
      </c>
      <c r="H55" s="10">
        <v>-1</v>
      </c>
      <c r="I55" s="10">
        <f t="shared" si="2"/>
        <v>-1</v>
      </c>
      <c r="J55">
        <f t="shared" si="3"/>
        <v>0</v>
      </c>
      <c r="K55" s="12">
        <v>132</v>
      </c>
      <c r="M55" t="s">
        <v>22</v>
      </c>
      <c r="N55">
        <v>0.1905750895377423</v>
      </c>
    </row>
    <row r="56" spans="6:18" x14ac:dyDescent="0.35">
      <c r="F56" s="10">
        <v>1</v>
      </c>
      <c r="G56" s="11">
        <v>0</v>
      </c>
      <c r="H56" s="10">
        <v>-1</v>
      </c>
      <c r="I56" s="10">
        <f t="shared" si="2"/>
        <v>-1</v>
      </c>
      <c r="J56">
        <f t="shared" si="3"/>
        <v>0</v>
      </c>
      <c r="K56" s="12">
        <v>120</v>
      </c>
      <c r="M56" t="s">
        <v>24</v>
      </c>
      <c r="N56">
        <v>21.393946835330716</v>
      </c>
    </row>
    <row r="57" spans="6:18" ht="15" thickBot="1" x14ac:dyDescent="0.4">
      <c r="F57" s="10">
        <v>1</v>
      </c>
      <c r="G57" s="11">
        <v>0</v>
      </c>
      <c r="H57" s="10">
        <v>-1</v>
      </c>
      <c r="I57" s="10">
        <f t="shared" si="2"/>
        <v>-1</v>
      </c>
      <c r="J57">
        <f t="shared" si="3"/>
        <v>0</v>
      </c>
      <c r="K57" s="12">
        <v>187</v>
      </c>
      <c r="M57" s="18" t="s">
        <v>27</v>
      </c>
      <c r="N57" s="18">
        <v>27</v>
      </c>
    </row>
    <row r="58" spans="6:18" x14ac:dyDescent="0.35">
      <c r="F58" s="15">
        <v>1</v>
      </c>
      <c r="G58" s="2">
        <v>0</v>
      </c>
      <c r="H58" s="15">
        <v>-1</v>
      </c>
      <c r="I58" s="10">
        <f t="shared" si="2"/>
        <v>-1</v>
      </c>
      <c r="J58">
        <f t="shared" si="3"/>
        <v>0</v>
      </c>
      <c r="K58" s="17">
        <v>184</v>
      </c>
    </row>
    <row r="59" spans="6:18" ht="15" thickBot="1" x14ac:dyDescent="0.4">
      <c r="F59" s="6">
        <v>0</v>
      </c>
      <c r="G59" s="8">
        <v>1</v>
      </c>
      <c r="H59" s="6">
        <v>1</v>
      </c>
      <c r="I59" s="6">
        <f t="shared" si="2"/>
        <v>0</v>
      </c>
      <c r="J59" s="8">
        <f t="shared" si="3"/>
        <v>1</v>
      </c>
      <c r="K59" s="9">
        <v>166</v>
      </c>
      <c r="M59" t="s">
        <v>28</v>
      </c>
    </row>
    <row r="60" spans="6:18" x14ac:dyDescent="0.35">
      <c r="F60" s="10">
        <v>0</v>
      </c>
      <c r="G60" s="11">
        <v>1</v>
      </c>
      <c r="H60" s="10">
        <v>1</v>
      </c>
      <c r="I60" s="10">
        <f t="shared" si="2"/>
        <v>0</v>
      </c>
      <c r="J60">
        <f t="shared" si="3"/>
        <v>1</v>
      </c>
      <c r="K60" s="12">
        <v>178</v>
      </c>
      <c r="M60" s="19"/>
      <c r="N60" s="19" t="s">
        <v>29</v>
      </c>
      <c r="O60" s="19" t="s">
        <v>30</v>
      </c>
      <c r="P60" s="19" t="s">
        <v>31</v>
      </c>
      <c r="Q60" s="19" t="s">
        <v>32</v>
      </c>
      <c r="R60" s="19" t="s">
        <v>33</v>
      </c>
    </row>
    <row r="61" spans="6:18" x14ac:dyDescent="0.35">
      <c r="F61" s="10">
        <v>0</v>
      </c>
      <c r="G61" s="11">
        <v>1</v>
      </c>
      <c r="H61" s="10">
        <v>1</v>
      </c>
      <c r="I61" s="10">
        <f t="shared" si="2"/>
        <v>0</v>
      </c>
      <c r="J61">
        <f t="shared" si="3"/>
        <v>1</v>
      </c>
      <c r="K61" s="12">
        <v>187</v>
      </c>
      <c r="M61" t="s">
        <v>34</v>
      </c>
      <c r="N61">
        <v>3</v>
      </c>
      <c r="O61">
        <v>4174.9519666360575</v>
      </c>
      <c r="P61">
        <v>1391.6506555453525</v>
      </c>
      <c r="Q61">
        <v>3.0405237776170235</v>
      </c>
      <c r="R61">
        <v>4.9388235315860701E-2</v>
      </c>
    </row>
    <row r="62" spans="6:18" x14ac:dyDescent="0.35">
      <c r="F62" s="10">
        <v>0</v>
      </c>
      <c r="G62" s="11">
        <v>1</v>
      </c>
      <c r="H62" s="10">
        <v>1</v>
      </c>
      <c r="I62" s="10">
        <f t="shared" si="2"/>
        <v>0</v>
      </c>
      <c r="J62">
        <f t="shared" si="3"/>
        <v>1</v>
      </c>
      <c r="K62" s="12">
        <v>153</v>
      </c>
      <c r="M62" t="s">
        <v>35</v>
      </c>
      <c r="N62">
        <v>23</v>
      </c>
      <c r="O62">
        <v>10527.122107438014</v>
      </c>
      <c r="P62">
        <v>457.7009611929571</v>
      </c>
    </row>
    <row r="63" spans="6:18" ht="15" thickBot="1" x14ac:dyDescent="0.4">
      <c r="F63" s="6">
        <v>0</v>
      </c>
      <c r="G63" s="8">
        <v>1</v>
      </c>
      <c r="H63" s="6">
        <v>-1</v>
      </c>
      <c r="I63" s="6">
        <f t="shared" si="2"/>
        <v>0</v>
      </c>
      <c r="J63" s="8">
        <f t="shared" si="3"/>
        <v>-1</v>
      </c>
      <c r="K63" s="9">
        <v>140</v>
      </c>
      <c r="M63" s="18" t="s">
        <v>16</v>
      </c>
      <c r="N63" s="18">
        <v>26</v>
      </c>
      <c r="O63" s="18">
        <v>14702.074074074071</v>
      </c>
      <c r="P63" s="18"/>
      <c r="Q63" s="18"/>
      <c r="R63" s="18"/>
    </row>
    <row r="64" spans="6:18" ht="15" thickBot="1" x14ac:dyDescent="0.4">
      <c r="F64" s="10">
        <v>0</v>
      </c>
      <c r="G64" s="11">
        <v>1</v>
      </c>
      <c r="H64" s="10">
        <v>-1</v>
      </c>
      <c r="I64" s="10">
        <f t="shared" si="2"/>
        <v>0</v>
      </c>
      <c r="J64">
        <f t="shared" si="3"/>
        <v>-1</v>
      </c>
      <c r="K64" s="12">
        <v>145</v>
      </c>
    </row>
    <row r="65" spans="6:19" x14ac:dyDescent="0.35">
      <c r="F65" s="10">
        <v>0</v>
      </c>
      <c r="G65" s="11">
        <v>1</v>
      </c>
      <c r="H65" s="10">
        <v>-1</v>
      </c>
      <c r="I65" s="10">
        <f t="shared" si="2"/>
        <v>0</v>
      </c>
      <c r="J65">
        <f t="shared" si="3"/>
        <v>-1</v>
      </c>
      <c r="K65" s="12">
        <v>159</v>
      </c>
      <c r="M65" s="19"/>
      <c r="N65" s="19" t="s">
        <v>39</v>
      </c>
      <c r="O65" s="19" t="s">
        <v>24</v>
      </c>
      <c r="P65" s="19" t="s">
        <v>40</v>
      </c>
      <c r="Q65" s="19" t="s">
        <v>41</v>
      </c>
      <c r="R65" s="19" t="s">
        <v>42</v>
      </c>
      <c r="S65" s="19" t="s">
        <v>43</v>
      </c>
    </row>
    <row r="66" spans="6:19" x14ac:dyDescent="0.35">
      <c r="F66" s="10">
        <v>0</v>
      </c>
      <c r="G66" s="11">
        <v>1</v>
      </c>
      <c r="H66" s="10">
        <v>-1</v>
      </c>
      <c r="I66" s="10">
        <f t="shared" si="2"/>
        <v>0</v>
      </c>
      <c r="J66">
        <f t="shared" si="3"/>
        <v>-1</v>
      </c>
      <c r="K66" s="12">
        <v>131</v>
      </c>
      <c r="M66" t="s">
        <v>44</v>
      </c>
      <c r="N66">
        <v>152.24793388429751</v>
      </c>
      <c r="O66">
        <v>4.1257649682564077</v>
      </c>
      <c r="P66">
        <v>36.901746719866864</v>
      </c>
      <c r="Q66">
        <v>5.6733608544716497E-22</v>
      </c>
      <c r="R66">
        <v>143.71313878391359</v>
      </c>
      <c r="S66">
        <v>160.78272898468143</v>
      </c>
    </row>
    <row r="67" spans="6:19" x14ac:dyDescent="0.35">
      <c r="F67" s="6">
        <v>-1</v>
      </c>
      <c r="G67" s="8">
        <v>-1</v>
      </c>
      <c r="H67" s="6">
        <v>1</v>
      </c>
      <c r="I67" s="6">
        <f t="shared" si="2"/>
        <v>-1</v>
      </c>
      <c r="J67" s="8">
        <f t="shared" si="3"/>
        <v>-1</v>
      </c>
      <c r="K67" s="9">
        <v>151</v>
      </c>
      <c r="M67" t="s">
        <v>2</v>
      </c>
      <c r="N67">
        <v>-3.3897382920110184</v>
      </c>
      <c r="O67">
        <v>4.1372095532602486</v>
      </c>
      <c r="P67">
        <v>-0.81932961054385078</v>
      </c>
      <c r="Q67">
        <v>0.42100775586952588</v>
      </c>
      <c r="R67">
        <v>-11.948208320261227</v>
      </c>
      <c r="S67">
        <v>5.1687317362391889</v>
      </c>
    </row>
    <row r="68" spans="6:19" x14ac:dyDescent="0.35">
      <c r="F68" s="10">
        <v>-1</v>
      </c>
      <c r="G68" s="11">
        <v>-1</v>
      </c>
      <c r="H68" s="10">
        <v>1</v>
      </c>
      <c r="I68" s="10">
        <f t="shared" si="2"/>
        <v>-1</v>
      </c>
      <c r="J68">
        <f t="shared" si="3"/>
        <v>-1</v>
      </c>
      <c r="K68" s="12">
        <v>125</v>
      </c>
      <c r="M68" t="s">
        <v>5</v>
      </c>
      <c r="N68">
        <v>-8.7102617079889733</v>
      </c>
      <c r="O68">
        <v>5.6897453013311372</v>
      </c>
      <c r="P68">
        <v>-1.5308702317397538</v>
      </c>
      <c r="Q68">
        <v>0.13944088670310667</v>
      </c>
      <c r="R68">
        <v>-20.480396626933654</v>
      </c>
      <c r="S68">
        <v>3.0598732109557094</v>
      </c>
    </row>
    <row r="69" spans="6:19" ht="15" thickBot="1" x14ac:dyDescent="0.4">
      <c r="F69" s="10">
        <v>-1</v>
      </c>
      <c r="G69" s="11">
        <v>-1</v>
      </c>
      <c r="H69" s="10">
        <v>1</v>
      </c>
      <c r="I69" s="10">
        <f t="shared" si="2"/>
        <v>-1</v>
      </c>
      <c r="J69">
        <f t="shared" si="3"/>
        <v>-1</v>
      </c>
      <c r="K69" s="12">
        <v>117</v>
      </c>
      <c r="M69" s="18" t="s">
        <v>6</v>
      </c>
      <c r="N69" s="18">
        <v>17.01473829201101</v>
      </c>
      <c r="O69" s="18">
        <v>6.0155944237147283</v>
      </c>
      <c r="P69" s="18">
        <v>2.8284384041808672</v>
      </c>
      <c r="Q69" s="18">
        <v>9.5257546521778126E-3</v>
      </c>
      <c r="R69" s="18">
        <v>4.5705331061991448</v>
      </c>
      <c r="S69" s="18">
        <v>29.458943477822878</v>
      </c>
    </row>
    <row r="70" spans="6:19" x14ac:dyDescent="0.35">
      <c r="F70" s="10">
        <v>-1</v>
      </c>
      <c r="G70" s="11">
        <v>-1</v>
      </c>
      <c r="H70" s="10">
        <v>1</v>
      </c>
      <c r="I70" s="10">
        <f t="shared" si="2"/>
        <v>-1</v>
      </c>
      <c r="J70">
        <f t="shared" si="3"/>
        <v>-1</v>
      </c>
      <c r="K70" s="12">
        <v>155</v>
      </c>
    </row>
    <row r="71" spans="6:19" x14ac:dyDescent="0.35">
      <c r="F71" s="15">
        <v>-1</v>
      </c>
      <c r="G71" s="2">
        <v>-1</v>
      </c>
      <c r="H71" s="15">
        <v>1</v>
      </c>
      <c r="I71" s="10">
        <f t="shared" si="2"/>
        <v>-1</v>
      </c>
      <c r="J71">
        <f t="shared" si="3"/>
        <v>-1</v>
      </c>
      <c r="K71" s="17">
        <v>158</v>
      </c>
      <c r="M71" s="20" t="s">
        <v>73</v>
      </c>
    </row>
    <row r="72" spans="6:19" x14ac:dyDescent="0.35">
      <c r="F72" s="6">
        <v>-1</v>
      </c>
      <c r="G72" s="8">
        <v>-1</v>
      </c>
      <c r="H72" s="6">
        <v>-1</v>
      </c>
      <c r="I72" s="6">
        <f t="shared" si="2"/>
        <v>1</v>
      </c>
      <c r="J72" s="8">
        <f t="shared" si="3"/>
        <v>1</v>
      </c>
      <c r="K72" s="9">
        <v>167</v>
      </c>
    </row>
    <row r="73" spans="6:19" x14ac:dyDescent="0.35">
      <c r="F73" s="10">
        <v>-1</v>
      </c>
      <c r="G73" s="11">
        <v>-1</v>
      </c>
      <c r="H73" s="10">
        <v>-1</v>
      </c>
      <c r="I73" s="10">
        <f t="shared" si="2"/>
        <v>1</v>
      </c>
      <c r="J73" s="11">
        <f t="shared" si="3"/>
        <v>1</v>
      </c>
      <c r="K73" s="12">
        <v>183</v>
      </c>
      <c r="M73" t="s">
        <v>9</v>
      </c>
    </row>
    <row r="74" spans="6:19" ht="15" thickBot="1" x14ac:dyDescent="0.4">
      <c r="F74" s="10">
        <v>-1</v>
      </c>
      <c r="G74" s="11">
        <v>-1</v>
      </c>
      <c r="H74" s="10">
        <v>-1</v>
      </c>
      <c r="I74" s="10">
        <f t="shared" si="2"/>
        <v>1</v>
      </c>
      <c r="J74" s="11">
        <f t="shared" si="3"/>
        <v>1</v>
      </c>
      <c r="K74" s="12">
        <v>142</v>
      </c>
    </row>
    <row r="75" spans="6:19" x14ac:dyDescent="0.35">
      <c r="F75" s="15">
        <v>-1</v>
      </c>
      <c r="G75" s="2">
        <v>-1</v>
      </c>
      <c r="H75" s="15">
        <v>-1</v>
      </c>
      <c r="I75" s="15">
        <f t="shared" si="2"/>
        <v>1</v>
      </c>
      <c r="J75" s="2">
        <f t="shared" si="3"/>
        <v>1</v>
      </c>
      <c r="K75" s="17">
        <v>167</v>
      </c>
      <c r="M75" s="13" t="s">
        <v>17</v>
      </c>
      <c r="N75" s="13"/>
    </row>
    <row r="76" spans="6:19" x14ac:dyDescent="0.35">
      <c r="M76" t="s">
        <v>18</v>
      </c>
      <c r="N76">
        <v>0.54106663277212563</v>
      </c>
    </row>
    <row r="77" spans="6:19" x14ac:dyDescent="0.35">
      <c r="M77" t="s">
        <v>20</v>
      </c>
      <c r="N77">
        <v>0.29275310109936631</v>
      </c>
    </row>
    <row r="78" spans="6:19" x14ac:dyDescent="0.35">
      <c r="M78" t="s">
        <v>22</v>
      </c>
      <c r="N78">
        <v>0.16416275584470563</v>
      </c>
    </row>
    <row r="79" spans="6:19" x14ac:dyDescent="0.35">
      <c r="M79" t="s">
        <v>24</v>
      </c>
      <c r="N79">
        <v>21.740197682776373</v>
      </c>
    </row>
    <row r="80" spans="6:19" ht="15" thickBot="1" x14ac:dyDescent="0.4">
      <c r="M80" s="18" t="s">
        <v>27</v>
      </c>
      <c r="N80" s="18">
        <v>27</v>
      </c>
    </row>
    <row r="82" spans="13:19" ht="15" thickBot="1" x14ac:dyDescent="0.4">
      <c r="M82" t="s">
        <v>28</v>
      </c>
    </row>
    <row r="83" spans="13:19" x14ac:dyDescent="0.35">
      <c r="M83" s="19"/>
      <c r="N83" s="19" t="s">
        <v>29</v>
      </c>
      <c r="O83" s="19" t="s">
        <v>30</v>
      </c>
      <c r="P83" s="19" t="s">
        <v>31</v>
      </c>
      <c r="Q83" s="19" t="s">
        <v>32</v>
      </c>
      <c r="R83" s="19" t="s">
        <v>33</v>
      </c>
    </row>
    <row r="84" spans="13:19" x14ac:dyDescent="0.35">
      <c r="M84" t="s">
        <v>34</v>
      </c>
      <c r="N84">
        <v>4</v>
      </c>
      <c r="O84">
        <v>4304.0777777777785</v>
      </c>
      <c r="P84">
        <v>1076.0194444444446</v>
      </c>
      <c r="Q84">
        <v>2.2766336035539623</v>
      </c>
      <c r="R84">
        <v>9.3459458279901708E-2</v>
      </c>
    </row>
    <row r="85" spans="13:19" x14ac:dyDescent="0.35">
      <c r="M85" t="s">
        <v>35</v>
      </c>
      <c r="N85">
        <v>22</v>
      </c>
      <c r="O85">
        <v>10397.996296296293</v>
      </c>
      <c r="P85">
        <v>472.63619528619512</v>
      </c>
    </row>
    <row r="86" spans="13:19" ht="15" thickBot="1" x14ac:dyDescent="0.4">
      <c r="M86" s="18" t="s">
        <v>16</v>
      </c>
      <c r="N86" s="18">
        <v>26</v>
      </c>
      <c r="O86" s="18">
        <v>14702.074074074071</v>
      </c>
      <c r="P86" s="18"/>
      <c r="Q86" s="18"/>
      <c r="R86" s="18"/>
    </row>
    <row r="87" spans="13:19" ht="15" thickBot="1" x14ac:dyDescent="0.4"/>
    <row r="88" spans="13:19" x14ac:dyDescent="0.35">
      <c r="M88" s="19"/>
      <c r="N88" s="19" t="s">
        <v>39</v>
      </c>
      <c r="O88" s="19" t="s">
        <v>24</v>
      </c>
      <c r="P88" s="19" t="s">
        <v>40</v>
      </c>
      <c r="Q88" s="19" t="s">
        <v>41</v>
      </c>
      <c r="R88" s="19" t="s">
        <v>42</v>
      </c>
      <c r="S88" s="19" t="s">
        <v>43</v>
      </c>
    </row>
    <row r="89" spans="13:19" x14ac:dyDescent="0.35">
      <c r="M89" t="s">
        <v>44</v>
      </c>
      <c r="N89">
        <v>152.49012345679012</v>
      </c>
      <c r="O89">
        <v>4.207082690148412</v>
      </c>
      <c r="P89">
        <v>36.246048553757035</v>
      </c>
      <c r="Q89">
        <v>4.0990029137263698E-21</v>
      </c>
      <c r="R89">
        <v>143.76516797124611</v>
      </c>
      <c r="S89">
        <v>161.21507894233412</v>
      </c>
    </row>
    <row r="90" spans="13:19" x14ac:dyDescent="0.35">
      <c r="M90" t="s">
        <v>3</v>
      </c>
      <c r="N90">
        <v>-4.9901234567901289</v>
      </c>
      <c r="O90">
        <v>5.7839506053059937</v>
      </c>
      <c r="P90">
        <v>-0.86275347030321536</v>
      </c>
      <c r="Q90">
        <v>0.39758081615311081</v>
      </c>
      <c r="R90">
        <v>-16.985302843221419</v>
      </c>
      <c r="S90">
        <v>7.0050559296411601</v>
      </c>
    </row>
    <row r="91" spans="13:19" x14ac:dyDescent="0.35">
      <c r="M91" t="s">
        <v>4</v>
      </c>
      <c r="N91">
        <v>4.8848765432098835</v>
      </c>
      <c r="O91">
        <v>6.1149586724145459</v>
      </c>
      <c r="P91">
        <v>0.79884048362358706</v>
      </c>
      <c r="Q91">
        <v>0.43292294119814867</v>
      </c>
      <c r="R91">
        <v>-7.7967715588567996</v>
      </c>
      <c r="S91">
        <v>17.566524645276566</v>
      </c>
    </row>
    <row r="92" spans="13:19" x14ac:dyDescent="0.35">
      <c r="M92" t="s">
        <v>5</v>
      </c>
      <c r="N92">
        <v>-9.0629629629629633</v>
      </c>
      <c r="O92">
        <v>5.7671122854277979</v>
      </c>
      <c r="P92">
        <v>-1.5714906376737354</v>
      </c>
      <c r="Q92">
        <v>0.13034096665888897</v>
      </c>
      <c r="R92">
        <v>-21.023221811290107</v>
      </c>
      <c r="S92">
        <v>2.8972958853641817</v>
      </c>
    </row>
    <row r="93" spans="13:19" ht="15" thickBot="1" x14ac:dyDescent="0.4">
      <c r="M93" s="18" t="s">
        <v>6</v>
      </c>
      <c r="N93" s="18">
        <v>17.421296296296298</v>
      </c>
      <c r="O93" s="18">
        <v>6.0990342738379937</v>
      </c>
      <c r="P93" s="18">
        <v>2.8564024260407122</v>
      </c>
      <c r="Q93" s="18">
        <v>9.1774119848700604E-3</v>
      </c>
      <c r="R93" s="18">
        <v>4.7726733755600961</v>
      </c>
      <c r="S93" s="18">
        <v>30.069919217032499</v>
      </c>
    </row>
    <row r="95" spans="13:19" x14ac:dyDescent="0.35">
      <c r="M95" s="1" t="s">
        <v>74</v>
      </c>
    </row>
    <row r="97" spans="13:18" ht="15" thickBot="1" x14ac:dyDescent="0.4">
      <c r="M97" t="s">
        <v>28</v>
      </c>
    </row>
    <row r="98" spans="13:18" x14ac:dyDescent="0.35">
      <c r="M98" s="19"/>
      <c r="N98" s="19" t="s">
        <v>75</v>
      </c>
      <c r="O98" s="19" t="s">
        <v>76</v>
      </c>
      <c r="P98" s="19" t="s">
        <v>20</v>
      </c>
      <c r="R98" s="19" t="s">
        <v>77</v>
      </c>
    </row>
    <row r="99" spans="13:18" x14ac:dyDescent="0.35">
      <c r="M99" t="s">
        <v>78</v>
      </c>
      <c r="N99">
        <f>N13</f>
        <v>5</v>
      </c>
      <c r="O99">
        <f>O13</f>
        <v>4615.3740740740668</v>
      </c>
      <c r="P99">
        <f>N6</f>
        <v>0.31392673243382097</v>
      </c>
    </row>
    <row r="100" spans="13:18" x14ac:dyDescent="0.35">
      <c r="M100" t="s">
        <v>79</v>
      </c>
      <c r="N100">
        <f>N61</f>
        <v>3</v>
      </c>
      <c r="O100">
        <f>O61</f>
        <v>4174.9519666360575</v>
      </c>
      <c r="P100">
        <f>N54</f>
        <v>0.28397027151415666</v>
      </c>
    </row>
    <row r="101" spans="13:18" x14ac:dyDescent="0.35">
      <c r="M101" t="s">
        <v>80</v>
      </c>
      <c r="N101">
        <f>N84</f>
        <v>4</v>
      </c>
      <c r="O101">
        <f>O84</f>
        <v>4304.0777777777785</v>
      </c>
      <c r="P101">
        <f>N77</f>
        <v>0.29275310109936631</v>
      </c>
    </row>
    <row r="102" spans="13:18" ht="15" thickBot="1" x14ac:dyDescent="0.4">
      <c r="M102" s="18" t="s">
        <v>81</v>
      </c>
      <c r="N102" s="18">
        <f>N38</f>
        <v>3</v>
      </c>
      <c r="O102" s="18">
        <f>O38</f>
        <v>939.89742118150934</v>
      </c>
      <c r="P102" s="18">
        <f>N31</f>
        <v>6.3929580033809177E-2</v>
      </c>
      <c r="R102" s="18"/>
    </row>
    <row r="103" spans="13:18" x14ac:dyDescent="0.35">
      <c r="M103" t="s">
        <v>82</v>
      </c>
      <c r="N103">
        <f>N99-N101</f>
        <v>1</v>
      </c>
      <c r="O103">
        <f>O99-O101</f>
        <v>311.29629629628835</v>
      </c>
      <c r="P103">
        <f>P99-P101</f>
        <v>2.1173631334454657E-2</v>
      </c>
      <c r="R103">
        <f>P103*O15</f>
        <v>311.29629629628818</v>
      </c>
    </row>
    <row r="104" spans="13:18" x14ac:dyDescent="0.35">
      <c r="M104" t="s">
        <v>83</v>
      </c>
      <c r="N104">
        <f>N99-N100</f>
        <v>2</v>
      </c>
      <c r="O104">
        <f>O99-O100</f>
        <v>440.42210743800933</v>
      </c>
      <c r="P104">
        <f>P99-P100</f>
        <v>2.9956460919664307E-2</v>
      </c>
      <c r="R104">
        <f>P104*O15</f>
        <v>440.42210743800973</v>
      </c>
    </row>
    <row r="105" spans="13:18" ht="15" thickBot="1" x14ac:dyDescent="0.4">
      <c r="M105" s="18" t="s">
        <v>84</v>
      </c>
      <c r="N105" s="18">
        <f>N99-N102</f>
        <v>2</v>
      </c>
      <c r="O105" s="18">
        <f>O99-O102</f>
        <v>3675.4766528925575</v>
      </c>
      <c r="P105" s="18">
        <f>P99-P102</f>
        <v>0.2499971524000118</v>
      </c>
      <c r="R105" s="18">
        <f>P105*O15</f>
        <v>3675.4766528925579</v>
      </c>
    </row>
    <row r="108" spans="13:18" x14ac:dyDescent="0.35">
      <c r="M108" s="1" t="s">
        <v>85</v>
      </c>
    </row>
    <row r="110" spans="13:18" ht="15" thickBot="1" x14ac:dyDescent="0.4">
      <c r="M110" t="s">
        <v>28</v>
      </c>
    </row>
    <row r="111" spans="13:18" x14ac:dyDescent="0.35">
      <c r="M111" s="19" t="s">
        <v>45</v>
      </c>
      <c r="N111" s="19" t="s">
        <v>30</v>
      </c>
      <c r="O111" s="19" t="s">
        <v>29</v>
      </c>
      <c r="P111" s="19" t="s">
        <v>31</v>
      </c>
      <c r="Q111" s="19" t="s">
        <v>32</v>
      </c>
      <c r="R111" s="19" t="s">
        <v>41</v>
      </c>
    </row>
    <row r="112" spans="13:18" x14ac:dyDescent="0.35">
      <c r="M112" t="s">
        <v>86</v>
      </c>
      <c r="N112">
        <f>O103</f>
        <v>311.29629629628835</v>
      </c>
      <c r="O112">
        <f>N103</f>
        <v>1</v>
      </c>
      <c r="P112">
        <f>N112/O112</f>
        <v>311.29629629628835</v>
      </c>
      <c r="Q112">
        <f>P112/P115</f>
        <v>0.64810316775774557</v>
      </c>
      <c r="R112">
        <f>FDIST(Q112,O112,O115)</f>
        <v>0.42981280716327275</v>
      </c>
    </row>
    <row r="113" spans="13:18" x14ac:dyDescent="0.35">
      <c r="M113" t="s">
        <v>87</v>
      </c>
      <c r="N113">
        <f>O104</f>
        <v>440.42210743800933</v>
      </c>
      <c r="O113">
        <f>N104</f>
        <v>2</v>
      </c>
      <c r="P113">
        <f>N113/O113</f>
        <v>220.21105371900467</v>
      </c>
      <c r="Q113">
        <f>P113/P115</f>
        <v>0.45846829271209577</v>
      </c>
      <c r="R113">
        <f>FDIST(Q113,O113,O115)</f>
        <v>0.63843128233853208</v>
      </c>
    </row>
    <row r="114" spans="13:18" x14ac:dyDescent="0.35">
      <c r="M114" t="s">
        <v>51</v>
      </c>
      <c r="N114">
        <f>O105</f>
        <v>3675.4766528925575</v>
      </c>
      <c r="O114">
        <f>N105</f>
        <v>2</v>
      </c>
      <c r="P114">
        <f>N114/O114</f>
        <v>1837.7383264462787</v>
      </c>
      <c r="Q114">
        <f>P114/P115</f>
        <v>3.8260783859311607</v>
      </c>
      <c r="R114">
        <f>FDIST(Q114,O114,O115)</f>
        <v>3.8295764848006966E-2</v>
      </c>
    </row>
    <row r="115" spans="13:18" x14ac:dyDescent="0.35">
      <c r="M115" t="s">
        <v>52</v>
      </c>
      <c r="N115">
        <f>O14</f>
        <v>10086.700000000004</v>
      </c>
      <c r="O115">
        <f>N14</f>
        <v>21</v>
      </c>
      <c r="P115">
        <f>N115/O115</f>
        <v>480.31904761904781</v>
      </c>
    </row>
    <row r="117" spans="13:18" ht="15" thickBot="1" x14ac:dyDescent="0.4">
      <c r="M117" s="18" t="s">
        <v>16</v>
      </c>
      <c r="N117" s="18">
        <f>O15</f>
        <v>14702.074074074071</v>
      </c>
      <c r="O117" s="18">
        <f>N15</f>
        <v>26</v>
      </c>
      <c r="P117" s="18"/>
      <c r="Q117" s="18"/>
      <c r="R117" s="18"/>
    </row>
    <row r="119" spans="13:18" x14ac:dyDescent="0.35">
      <c r="M119" t="s">
        <v>88</v>
      </c>
      <c r="N119">
        <f>SUM(N112:N115)</f>
        <v>14513.89505662686</v>
      </c>
    </row>
  </sheetData>
  <mergeCells count="1">
    <mergeCell ref="B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E6C5E-A72B-4034-9D04-2B54D122D114}">
  <sheetPr codeName="Sheet241"/>
  <dimension ref="A1:Z29"/>
  <sheetViews>
    <sheetView zoomScaleNormal="100" workbookViewId="0">
      <selection activeCell="L19" sqref="L19"/>
    </sheetView>
  </sheetViews>
  <sheetFormatPr defaultRowHeight="14.5" x14ac:dyDescent="0.35"/>
  <sheetData>
    <row r="1" spans="1:26" x14ac:dyDescent="0.35">
      <c r="A1" s="1" t="s">
        <v>89</v>
      </c>
      <c r="F1" t="s">
        <v>90</v>
      </c>
      <c r="J1" t="s">
        <v>91</v>
      </c>
      <c r="P1" t="s">
        <v>92</v>
      </c>
      <c r="X1" t="s">
        <v>93</v>
      </c>
    </row>
    <row r="3" spans="1:26" ht="15" thickBot="1" x14ac:dyDescent="0.4">
      <c r="A3" s="2"/>
      <c r="B3" s="49" t="s">
        <v>1</v>
      </c>
      <c r="C3" s="50"/>
      <c r="D3" s="51"/>
      <c r="F3" s="21" t="e">
        <f t="array" aca="1" ref="F3:H29" ca="1">Anova2Std(A4:D14, 5)</f>
        <v>#NAME?</v>
      </c>
      <c r="G3" s="22" t="e">
        <f ca="1"/>
        <v>#NAME?</v>
      </c>
      <c r="H3" s="23" t="e">
        <f ca="1"/>
        <v>#NAME?</v>
      </c>
      <c r="J3" t="s">
        <v>94</v>
      </c>
      <c r="K3" t="str">
        <f ca="1">IF(COUNTIF(K5:M6,K5)=COUNT(K5:M6),"balanced","unbalanced")</f>
        <v>balanced</v>
      </c>
      <c r="P3" t="s">
        <v>28</v>
      </c>
      <c r="T3" s="29" t="s">
        <v>95</v>
      </c>
      <c r="U3" s="29">
        <v>0.05</v>
      </c>
      <c r="Y3" s="30" t="str">
        <f>A5</f>
        <v>Blend X</v>
      </c>
      <c r="Z3" s="30" t="str">
        <f>A10</f>
        <v>Blend Y</v>
      </c>
    </row>
    <row r="4" spans="1:26" ht="15" thickTop="1" x14ac:dyDescent="0.35">
      <c r="A4" s="4" t="s">
        <v>10</v>
      </c>
      <c r="B4" s="5" t="s">
        <v>11</v>
      </c>
      <c r="C4" s="5" t="s">
        <v>12</v>
      </c>
      <c r="D4" s="5" t="s">
        <v>13</v>
      </c>
      <c r="F4" s="24" t="e">
        <f ca="1"/>
        <v>#NAME?</v>
      </c>
      <c r="G4" t="e">
        <f ca="1"/>
        <v>#NAME?</v>
      </c>
      <c r="H4" s="25" t="e">
        <f ca="1"/>
        <v>#NAME?</v>
      </c>
      <c r="K4" t="e">
        <f t="array" aca="1" ref="K4:M4" ca="1">TRANSPOSE(SortUnique(G3:G29))</f>
        <v>#NAME?</v>
      </c>
      <c r="L4" t="e">
        <f ca="1"/>
        <v>#NAME?</v>
      </c>
      <c r="M4" t="e">
        <f ca="1"/>
        <v>#NAME?</v>
      </c>
      <c r="P4" s="31"/>
      <c r="Q4" s="31" t="s">
        <v>30</v>
      </c>
      <c r="R4" s="31" t="s">
        <v>29</v>
      </c>
      <c r="S4" s="31" t="s">
        <v>31</v>
      </c>
      <c r="T4" s="31" t="s">
        <v>32</v>
      </c>
      <c r="U4" s="31" t="s">
        <v>96</v>
      </c>
      <c r="V4" s="31" t="s">
        <v>97</v>
      </c>
      <c r="X4" s="32" t="str">
        <f>B4</f>
        <v>Corn</v>
      </c>
      <c r="Y4" s="32">
        <f>IF(B5="","",B5)</f>
        <v>128</v>
      </c>
      <c r="Z4" s="32">
        <f>IF(B10="","",B10)</f>
        <v>175</v>
      </c>
    </row>
    <row r="5" spans="1:26" x14ac:dyDescent="0.35">
      <c r="A5" s="33" t="s">
        <v>14</v>
      </c>
      <c r="B5" s="33">
        <v>128</v>
      </c>
      <c r="C5" s="33">
        <v>166</v>
      </c>
      <c r="D5" s="33">
        <v>151</v>
      </c>
      <c r="F5" s="24" t="e">
        <f ca="1"/>
        <v>#NAME?</v>
      </c>
      <c r="G5" t="e">
        <f ca="1"/>
        <v>#NAME?</v>
      </c>
      <c r="H5" s="25" t="e">
        <f ca="1"/>
        <v>#NAME?</v>
      </c>
      <c r="J5" t="e">
        <f t="array" aca="1" ref="J5:J6" ca="1">SortUnique(F3:F29)</f>
        <v>#NAME?</v>
      </c>
      <c r="K5" s="21">
        <f t="array" ref="K5" ca="1">COUNTIFS($F$3:$F$29,$J5,$G$3:$G$29,K$4)</f>
        <v>27</v>
      </c>
      <c r="L5" s="22">
        <f t="array" ref="L5" ca="1">COUNTIFS($F$3:$F$29,$J5,$G$3:$G$29,L$4)</f>
        <v>27</v>
      </c>
      <c r="M5" s="23">
        <f t="array" ref="M5" ca="1">COUNTIFS($F$3:$F$29,$J5,$G$3:$G$29,M$4)</f>
        <v>27</v>
      </c>
      <c r="N5">
        <f t="array" ref="N5" ca="1">SUM(K5:M5)</f>
        <v>81</v>
      </c>
      <c r="P5" t="s">
        <v>48</v>
      </c>
      <c r="Q5" t="e">
        <f t="array" aca="1" ref="Q5:Q8" ca="1">SSAnova2(F3:H29)</f>
        <v>#NAME?</v>
      </c>
      <c r="R5">
        <f ca="1">COUNT(N11:N12)-1</f>
        <v>-1</v>
      </c>
      <c r="S5" t="e">
        <f ca="1">Q5/R5</f>
        <v>#NAME?</v>
      </c>
      <c r="T5" t="e">
        <f ca="1">S5/S8</f>
        <v>#NAME?</v>
      </c>
      <c r="U5" t="e">
        <f ca="1">FDIST(T5,R5,R8)</f>
        <v>#NAME?</v>
      </c>
      <c r="V5" s="29" t="e">
        <f ca="1">IF(U5&lt;U3,"yes","no")</f>
        <v>#NAME?</v>
      </c>
      <c r="X5" s="34"/>
      <c r="Y5" s="34">
        <f>IF(B6="","",B6)</f>
        <v>150</v>
      </c>
      <c r="Z5" s="34">
        <f>IF(B11="","",B11)</f>
        <v>132</v>
      </c>
    </row>
    <row r="6" spans="1:26" x14ac:dyDescent="0.35">
      <c r="A6" s="12"/>
      <c r="B6" s="12">
        <v>150</v>
      </c>
      <c r="C6" s="12">
        <v>178</v>
      </c>
      <c r="D6" s="12">
        <v>125</v>
      </c>
      <c r="F6" s="24" t="e">
        <f ca="1"/>
        <v>#NAME?</v>
      </c>
      <c r="G6" t="e">
        <f ca="1"/>
        <v>#NAME?</v>
      </c>
      <c r="H6" s="25" t="e">
        <f ca="1"/>
        <v>#NAME?</v>
      </c>
      <c r="J6" t="e">
        <f ca="1"/>
        <v>#NAME?</v>
      </c>
      <c r="K6" s="26">
        <f t="array" ref="K6" ca="1">COUNTIFS($F$3:$F$29,$J6,$G$3:$G$29,K$4)</f>
        <v>27</v>
      </c>
      <c r="L6" s="27">
        <f t="array" ref="L6" ca="1">COUNTIFS($F$3:$F$29,$J6,$G$3:$G$29,L$4)</f>
        <v>27</v>
      </c>
      <c r="M6" s="28">
        <f t="array" ref="M6" ca="1">COUNTIFS($F$3:$F$29,$J6,$G$3:$G$29,M$4)</f>
        <v>27</v>
      </c>
      <c r="N6">
        <f t="array" ref="N6" ca="1">SUM(K6:M6)</f>
        <v>81</v>
      </c>
      <c r="P6" t="s">
        <v>49</v>
      </c>
      <c r="Q6" t="e">
        <f ca="1"/>
        <v>#NAME?</v>
      </c>
      <c r="R6">
        <f ca="1">COUNT(K13:M13)-1</f>
        <v>-1</v>
      </c>
      <c r="S6" t="e">
        <f ca="1">Q6/R6</f>
        <v>#NAME?</v>
      </c>
      <c r="T6" t="e">
        <f ca="1">S6/S8</f>
        <v>#NAME?</v>
      </c>
      <c r="U6" t="e">
        <f ca="1">FDIST(T6,R6,R8)</f>
        <v>#NAME?</v>
      </c>
      <c r="V6" s="29" t="e">
        <f ca="1">IF(U6&lt;U3,"yes","no")</f>
        <v>#NAME?</v>
      </c>
      <c r="X6" s="34"/>
      <c r="Y6" s="34">
        <f>IF(B7="","",B7)</f>
        <v>174</v>
      </c>
      <c r="Z6" s="34">
        <f>IF(B12="","",B12)</f>
        <v>120</v>
      </c>
    </row>
    <row r="7" spans="1:26" x14ac:dyDescent="0.35">
      <c r="A7" s="12"/>
      <c r="B7" s="12">
        <v>174</v>
      </c>
      <c r="C7" s="12">
        <v>187</v>
      </c>
      <c r="D7" s="12">
        <v>117</v>
      </c>
      <c r="F7" s="24" t="e">
        <f ca="1"/>
        <v>#NAME?</v>
      </c>
      <c r="G7" t="e">
        <f ca="1"/>
        <v>#NAME?</v>
      </c>
      <c r="H7" s="25" t="e">
        <f ca="1"/>
        <v>#NAME?</v>
      </c>
      <c r="K7">
        <f t="array" ref="K7" ca="1">SUM(K5:K6)</f>
        <v>54</v>
      </c>
      <c r="L7">
        <f t="array" ref="L7" ca="1">SUM(L5:L6)</f>
        <v>54</v>
      </c>
      <c r="M7">
        <f t="array" ref="M7" ca="1">SUM(M5:M6)</f>
        <v>54</v>
      </c>
      <c r="N7">
        <f t="array" ref="N7" ca="1">SUM(N5:N6)</f>
        <v>162</v>
      </c>
      <c r="P7" t="s">
        <v>98</v>
      </c>
      <c r="Q7" t="e">
        <f ca="1"/>
        <v>#NAME?</v>
      </c>
      <c r="R7">
        <f ca="1">R6*R5</f>
        <v>1</v>
      </c>
      <c r="S7" t="e">
        <f ca="1">Q7/R7</f>
        <v>#NAME?</v>
      </c>
      <c r="T7" t="e">
        <f ca="1">S7/S8</f>
        <v>#NAME?</v>
      </c>
      <c r="U7" t="e">
        <f ca="1">FDIST(T7,R7,R8)</f>
        <v>#NAME?</v>
      </c>
      <c r="V7" s="29" t="e">
        <f ca="1">IF(U7&lt;U3,"yes","no")</f>
        <v>#NAME?</v>
      </c>
      <c r="X7" s="34"/>
      <c r="Y7" s="34">
        <f>IF(B8="","",B8)</f>
        <v>116</v>
      </c>
      <c r="Z7" s="34">
        <f>IF(B13="","",B13)</f>
        <v>187</v>
      </c>
    </row>
    <row r="8" spans="1:26" x14ac:dyDescent="0.35">
      <c r="A8" s="12"/>
      <c r="B8" s="12">
        <v>116</v>
      </c>
      <c r="C8" s="12">
        <v>153</v>
      </c>
      <c r="D8" s="12">
        <v>155</v>
      </c>
      <c r="F8" s="24" t="e">
        <f ca="1"/>
        <v>#NAME?</v>
      </c>
      <c r="G8" t="e">
        <f ca="1"/>
        <v>#NAME?</v>
      </c>
      <c r="H8" s="25" t="e">
        <f ca="1"/>
        <v>#NAME?</v>
      </c>
      <c r="P8" t="s">
        <v>52</v>
      </c>
      <c r="Q8" t="e">
        <f ca="1"/>
        <v>#NAME?</v>
      </c>
      <c r="R8">
        <f ca="1">R9-R5-R6-R7</f>
        <v>162</v>
      </c>
      <c r="S8" t="e">
        <f ca="1">Q8/R8</f>
        <v>#NAME?</v>
      </c>
      <c r="X8" s="35"/>
      <c r="Y8" s="35">
        <f>IF(B9="","",B9)</f>
        <v>109</v>
      </c>
      <c r="Z8" s="35">
        <f>IF(B14="","",B14)</f>
        <v>184</v>
      </c>
    </row>
    <row r="9" spans="1:26" x14ac:dyDescent="0.35">
      <c r="A9" s="12"/>
      <c r="B9" s="36">
        <v>109</v>
      </c>
      <c r="C9" s="36"/>
      <c r="D9" s="36">
        <v>158</v>
      </c>
      <c r="F9" s="24" t="e">
        <f ca="1"/>
        <v>#NAME?</v>
      </c>
      <c r="G9" t="e">
        <f ca="1"/>
        <v>#NAME?</v>
      </c>
      <c r="H9" s="25" t="e">
        <f ca="1"/>
        <v>#NAME?</v>
      </c>
      <c r="J9" t="s">
        <v>99</v>
      </c>
      <c r="P9" s="37" t="s">
        <v>16</v>
      </c>
      <c r="Q9" s="37" t="e">
        <f ca="1">S9*R9</f>
        <v>#NAME?</v>
      </c>
      <c r="R9" s="37">
        <f ca="1">N7-1</f>
        <v>161</v>
      </c>
      <c r="S9" s="37" t="e">
        <f ca="1">N19</f>
        <v>#NAME?</v>
      </c>
      <c r="T9" s="37"/>
      <c r="U9" s="37"/>
      <c r="V9" s="37"/>
      <c r="X9" s="32" t="str">
        <f>C4</f>
        <v>Soy</v>
      </c>
      <c r="Y9" s="32">
        <f>IF(C5="","",C5)</f>
        <v>166</v>
      </c>
      <c r="Z9" s="32">
        <f>IF(C10="","",C10)</f>
        <v>140</v>
      </c>
    </row>
    <row r="10" spans="1:26" x14ac:dyDescent="0.35">
      <c r="A10" s="9" t="s">
        <v>25</v>
      </c>
      <c r="B10" s="9">
        <v>175</v>
      </c>
      <c r="C10" s="9">
        <v>140</v>
      </c>
      <c r="D10" s="9">
        <v>167</v>
      </c>
      <c r="F10" s="24" t="e">
        <f ca="1"/>
        <v>#NAME?</v>
      </c>
      <c r="G10" t="e">
        <f ca="1"/>
        <v>#NAME?</v>
      </c>
      <c r="H10" s="25" t="e">
        <f ca="1"/>
        <v>#NAME?</v>
      </c>
      <c r="K10" t="e">
        <f t="array" aca="1" ref="K10:M10" ca="1">TRANSPOSE(SortUnique(G3:G29))</f>
        <v>#NAME?</v>
      </c>
      <c r="L10" t="e">
        <f ca="1"/>
        <v>#NAME?</v>
      </c>
      <c r="M10" t="e">
        <f ca="1"/>
        <v>#NAME?</v>
      </c>
      <c r="X10" s="34"/>
      <c r="Y10" s="34">
        <f>IF(C6="","",C6)</f>
        <v>178</v>
      </c>
      <c r="Z10" s="34">
        <f>IF(C11="","",C11)</f>
        <v>145</v>
      </c>
    </row>
    <row r="11" spans="1:26" x14ac:dyDescent="0.35">
      <c r="A11" s="12"/>
      <c r="B11" s="12">
        <v>132</v>
      </c>
      <c r="C11" s="12">
        <v>145</v>
      </c>
      <c r="D11" s="12">
        <v>183</v>
      </c>
      <c r="F11" s="24" t="e">
        <f ca="1"/>
        <v>#NAME?</v>
      </c>
      <c r="G11" t="e">
        <f ca="1"/>
        <v>#NAME?</v>
      </c>
      <c r="H11" s="25" t="e">
        <f ca="1"/>
        <v>#NAME?</v>
      </c>
      <c r="J11" t="e">
        <f t="array" aca="1" ref="J11:J12" ca="1">SortUnique(F3:F29)</f>
        <v>#NAME?</v>
      </c>
      <c r="K11" s="38" t="e">
        <f t="array" ref="K11" ca="1">AVERAGEIFS($H$3:$H$29,$F$3:$F$29,$J11,$G$3:$G$29,K$10)</f>
        <v>#NAME?</v>
      </c>
      <c r="L11" s="39" t="e">
        <f t="array" ref="L11" ca="1">AVERAGEIFS($H$3:$H$29,$F$3:$F$29,$J11,$G$3:$G$29,L$10)</f>
        <v>#NAME?</v>
      </c>
      <c r="M11" s="40" t="e">
        <f t="array" ref="M11" ca="1">AVERAGEIFS($H$3:$H$29,$F$3:$F$29,$J11,$G$3:$G$29,M$10)</f>
        <v>#NAME?</v>
      </c>
      <c r="N11" t="e">
        <f t="array" ref="N11" ca="1">AVERAGE(K11:M11)</f>
        <v>#NAME?</v>
      </c>
      <c r="X11" s="34"/>
      <c r="Y11" s="34">
        <f>IF(C7="","",C7)</f>
        <v>187</v>
      </c>
      <c r="Z11" s="34">
        <f>IF(C12="","",C12)</f>
        <v>159</v>
      </c>
    </row>
    <row r="12" spans="1:26" x14ac:dyDescent="0.35">
      <c r="A12" s="12"/>
      <c r="B12" s="12">
        <v>120</v>
      </c>
      <c r="C12" s="12">
        <v>159</v>
      </c>
      <c r="D12" s="12">
        <v>142</v>
      </c>
      <c r="F12" s="24" t="e">
        <f ca="1"/>
        <v>#NAME?</v>
      </c>
      <c r="G12" t="e">
        <f ca="1"/>
        <v>#NAME?</v>
      </c>
      <c r="H12" s="25" t="e">
        <f ca="1"/>
        <v>#NAME?</v>
      </c>
      <c r="J12" t="e">
        <f ca="1"/>
        <v>#NAME?</v>
      </c>
      <c r="K12" s="41" t="e">
        <f t="array" ref="K12" ca="1">AVERAGEIFS($H$3:$H$29,$F$3:$F$29,$J12,$G$3:$G$29,K$10)</f>
        <v>#NAME?</v>
      </c>
      <c r="L12" s="42" t="e">
        <f t="array" ref="L12" ca="1">AVERAGEIFS($H$3:$H$29,$F$3:$F$29,$J12,$G$3:$G$29,L$10)</f>
        <v>#NAME?</v>
      </c>
      <c r="M12" s="43" t="e">
        <f t="array" ref="M12" ca="1">AVERAGEIFS($H$3:$H$29,$F$3:$F$29,$J12,$G$3:$G$29,M$10)</f>
        <v>#NAME?</v>
      </c>
      <c r="N12" t="e">
        <f t="array" ref="N12" ca="1">AVERAGE(K12:M12)</f>
        <v>#NAME?</v>
      </c>
      <c r="X12" s="34"/>
      <c r="Y12" s="34">
        <f>IF(C8="","",C8)</f>
        <v>153</v>
      </c>
      <c r="Z12" s="34">
        <f>IF(C13="","",C13)</f>
        <v>131</v>
      </c>
    </row>
    <row r="13" spans="1:26" x14ac:dyDescent="0.35">
      <c r="A13" s="12"/>
      <c r="B13" s="12">
        <v>187</v>
      </c>
      <c r="C13" s="12">
        <v>131</v>
      </c>
      <c r="D13" s="12">
        <v>167</v>
      </c>
      <c r="F13" s="24" t="e">
        <f ca="1"/>
        <v>#NAME?</v>
      </c>
      <c r="G13" t="e">
        <f ca="1"/>
        <v>#NAME?</v>
      </c>
      <c r="H13" s="25" t="e">
        <f ca="1"/>
        <v>#NAME?</v>
      </c>
      <c r="K13" t="e">
        <f t="array" ref="K13" ca="1">AVERAGE(K11:K12)</f>
        <v>#NAME?</v>
      </c>
      <c r="L13" t="e">
        <f t="array" ref="L13" ca="1">AVERAGE(L11:L12)</f>
        <v>#NAME?</v>
      </c>
      <c r="M13" t="e">
        <f t="array" ref="M13" ca="1">AVERAGE(M11:M12)</f>
        <v>#NAME?</v>
      </c>
      <c r="N13" t="e">
        <f t="array" ref="N13" ca="1">AVERAGE(N11:N12)</f>
        <v>#NAME?</v>
      </c>
      <c r="X13" s="44"/>
      <c r="Y13" s="44" t="str">
        <f>IF(C9="","",C9)</f>
        <v/>
      </c>
      <c r="Z13" s="44" t="str">
        <f>IF(C14="","",C14)</f>
        <v/>
      </c>
    </row>
    <row r="14" spans="1:26" x14ac:dyDescent="0.35">
      <c r="A14" s="45"/>
      <c r="B14" s="45">
        <v>184</v>
      </c>
      <c r="C14" s="45"/>
      <c r="D14" s="45"/>
      <c r="F14" s="24" t="e">
        <f ca="1"/>
        <v>#NAME?</v>
      </c>
      <c r="G14" t="e">
        <f ca="1"/>
        <v>#NAME?</v>
      </c>
      <c r="H14" s="25" t="e">
        <f ca="1"/>
        <v>#NAME?</v>
      </c>
      <c r="X14" s="46" t="str">
        <f>D4</f>
        <v>Rice</v>
      </c>
      <c r="Y14" s="46">
        <f>IF(D5="","",D5)</f>
        <v>151</v>
      </c>
      <c r="Z14" s="46">
        <f>IF(D10="","",D10)</f>
        <v>167</v>
      </c>
    </row>
    <row r="15" spans="1:26" x14ac:dyDescent="0.35">
      <c r="F15" s="24" t="e">
        <f ca="1"/>
        <v>#NAME?</v>
      </c>
      <c r="G15" t="e">
        <f ca="1"/>
        <v>#NAME?</v>
      </c>
      <c r="H15" s="25" t="e">
        <f ca="1"/>
        <v>#NAME?</v>
      </c>
      <c r="J15" t="s">
        <v>100</v>
      </c>
      <c r="X15" s="34"/>
      <c r="Y15" s="34">
        <f>IF(D6="","",D6)</f>
        <v>125</v>
      </c>
      <c r="Z15" s="34">
        <f>IF(D11="","",D11)</f>
        <v>183</v>
      </c>
    </row>
    <row r="16" spans="1:26" x14ac:dyDescent="0.35">
      <c r="F16" s="24" t="e">
        <f ca="1"/>
        <v>#NAME?</v>
      </c>
      <c r="G16" t="e">
        <f ca="1"/>
        <v>#NAME?</v>
      </c>
      <c r="H16" s="25" t="e">
        <f ca="1"/>
        <v>#NAME?</v>
      </c>
      <c r="K16" t="e">
        <f t="array" aca="1" ref="K16:M16" ca="1">TRANSPOSE(SortUnique(G3:G29))</f>
        <v>#NAME?</v>
      </c>
      <c r="L16" t="e">
        <f ca="1"/>
        <v>#NAME?</v>
      </c>
      <c r="M16" t="e">
        <f ca="1"/>
        <v>#NAME?</v>
      </c>
      <c r="X16" s="34"/>
      <c r="Y16" s="34">
        <f>IF(D7="","",D7)</f>
        <v>117</v>
      </c>
      <c r="Z16" s="34">
        <f>IF(D12="","",D12)</f>
        <v>142</v>
      </c>
    </row>
    <row r="17" spans="6:26" x14ac:dyDescent="0.35">
      <c r="F17" s="24" t="e">
        <f ca="1"/>
        <v>#NAME?</v>
      </c>
      <c r="G17" t="e">
        <f ca="1"/>
        <v>#NAME?</v>
      </c>
      <c r="H17" s="25" t="e">
        <f ca="1"/>
        <v>#NAME?</v>
      </c>
      <c r="J17" t="e">
        <f t="array" aca="1" ref="J17:J18" ca="1">SortUnique(F3:F29)</f>
        <v>#NAME?</v>
      </c>
      <c r="K17" s="38" t="e">
        <f t="array" aca="1" ref="K17" ca="1">VAR(IF(($F$3:$F$29=$J17)*($G$3:$G$29=K$16),$H$3:$H$29))</f>
        <v>#NAME?</v>
      </c>
      <c r="L17" s="39" t="e">
        <f t="array" aca="1" ref="L17" ca="1">VAR(IF(($F$3:$F$29=$J17)*($G$3:$G$29=L$16),$H$3:$H$29))</f>
        <v>#NAME?</v>
      </c>
      <c r="M17" s="40" t="e">
        <f t="array" aca="1" ref="M17" ca="1">VAR(IF(($F$3:$F$29=$J17)*($G$3:$G$29=M$16),$H$3:$H$29))</f>
        <v>#NAME?</v>
      </c>
      <c r="N17" t="e">
        <f t="array" aca="1" ref="N17" ca="1">VAR(IF($F$3:$F$29=$J17,$H$3:$H$29))</f>
        <v>#NAME?</v>
      </c>
      <c r="X17" s="34"/>
      <c r="Y17" s="34">
        <f>IF(D8="","",D8)</f>
        <v>155</v>
      </c>
      <c r="Z17" s="34">
        <f>IF(D13="","",D13)</f>
        <v>167</v>
      </c>
    </row>
    <row r="18" spans="6:26" x14ac:dyDescent="0.35">
      <c r="F18" s="24" t="e">
        <f ca="1"/>
        <v>#NAME?</v>
      </c>
      <c r="G18" t="e">
        <f ca="1"/>
        <v>#NAME?</v>
      </c>
      <c r="H18" s="25" t="e">
        <f ca="1"/>
        <v>#NAME?</v>
      </c>
      <c r="J18" t="e">
        <f ca="1"/>
        <v>#NAME?</v>
      </c>
      <c r="K18" s="41" t="e">
        <f t="array" aca="1" ref="K18" ca="1">VAR(IF(($F$3:$F$29=$J18)*($G$3:$G$29=K$16),$H$3:$H$29))</f>
        <v>#NAME?</v>
      </c>
      <c r="L18" s="42" t="e">
        <f t="array" aca="1" ref="L18" ca="1">VAR(IF(($F$3:$F$29=$J18)*($G$3:$G$29=L$16),$H$3:$H$29))</f>
        <v>#NAME?</v>
      </c>
      <c r="M18" s="43" t="e">
        <f t="array" aca="1" ref="M18" ca="1">VAR(IF(($F$3:$F$29=$J18)*($G$3:$G$29=M$16),$H$3:$H$29))</f>
        <v>#NAME?</v>
      </c>
      <c r="N18" t="e">
        <f t="array" aca="1" ref="N18" ca="1">VAR(IF($F$3:$F$29=$J18,$H$3:$H$29))</f>
        <v>#NAME?</v>
      </c>
      <c r="X18" s="44"/>
      <c r="Y18" s="44">
        <f>IF(D9="","",D9)</f>
        <v>158</v>
      </c>
      <c r="Z18" s="44" t="str">
        <f>IF(D14="","",D14)</f>
        <v/>
      </c>
    </row>
    <row r="19" spans="6:26" x14ac:dyDescent="0.35">
      <c r="F19" s="24" t="e">
        <f ca="1"/>
        <v>#NAME?</v>
      </c>
      <c r="G19" t="e">
        <f ca="1"/>
        <v>#NAME?</v>
      </c>
      <c r="H19" s="25" t="e">
        <f ca="1"/>
        <v>#NAME?</v>
      </c>
      <c r="K19" t="e">
        <f t="array" aca="1" ref="K19" ca="1">VAR(IF($G$3:$G$29=K$16,$H$3:$H$29))</f>
        <v>#NAME?</v>
      </c>
      <c r="L19" t="e">
        <f t="array" aca="1" ref="L19" ca="1">VAR(IF($G$3:$G$29=L$16,$H$3:$H$29))</f>
        <v>#NAME?</v>
      </c>
      <c r="M19" t="e">
        <f t="array" aca="1" ref="M19" ca="1">VAR(IF($G$3:$G$29=M$16,$H$3:$H$29))</f>
        <v>#NAME?</v>
      </c>
      <c r="N19" t="e">
        <f ca="1">VAR(H3:H29)</f>
        <v>#NAME?</v>
      </c>
    </row>
    <row r="20" spans="6:26" x14ac:dyDescent="0.35">
      <c r="F20" s="24" t="e">
        <f ca="1"/>
        <v>#NAME?</v>
      </c>
      <c r="G20" t="e">
        <f ca="1"/>
        <v>#NAME?</v>
      </c>
      <c r="H20" s="25" t="e">
        <f ca="1"/>
        <v>#NAME?</v>
      </c>
    </row>
    <row r="21" spans="6:26" x14ac:dyDescent="0.35">
      <c r="F21" s="24" t="e">
        <f ca="1"/>
        <v>#NAME?</v>
      </c>
      <c r="G21" t="e">
        <f ca="1"/>
        <v>#NAME?</v>
      </c>
      <c r="H21" s="25" t="e">
        <f ca="1"/>
        <v>#NAME?</v>
      </c>
    </row>
    <row r="22" spans="6:26" x14ac:dyDescent="0.35">
      <c r="F22" s="24" t="e">
        <f ca="1"/>
        <v>#NAME?</v>
      </c>
      <c r="G22" t="e">
        <f ca="1"/>
        <v>#NAME?</v>
      </c>
      <c r="H22" s="25" t="e">
        <f ca="1"/>
        <v>#NAME?</v>
      </c>
    </row>
    <row r="23" spans="6:26" x14ac:dyDescent="0.35">
      <c r="F23" s="24" t="e">
        <f ca="1"/>
        <v>#NAME?</v>
      </c>
      <c r="G23" t="e">
        <f ca="1"/>
        <v>#NAME?</v>
      </c>
      <c r="H23" s="25" t="e">
        <f ca="1"/>
        <v>#NAME?</v>
      </c>
    </row>
    <row r="24" spans="6:26" x14ac:dyDescent="0.35">
      <c r="F24" s="24" t="e">
        <f ca="1"/>
        <v>#NAME?</v>
      </c>
      <c r="G24" t="e">
        <f ca="1"/>
        <v>#NAME?</v>
      </c>
      <c r="H24" s="25" t="e">
        <f ca="1"/>
        <v>#NAME?</v>
      </c>
    </row>
    <row r="25" spans="6:26" x14ac:dyDescent="0.35">
      <c r="F25" s="24" t="e">
        <f ca="1"/>
        <v>#NAME?</v>
      </c>
      <c r="G25" t="e">
        <f ca="1"/>
        <v>#NAME?</v>
      </c>
      <c r="H25" s="25" t="e">
        <f ca="1"/>
        <v>#NAME?</v>
      </c>
    </row>
    <row r="26" spans="6:26" x14ac:dyDescent="0.35">
      <c r="F26" s="24" t="e">
        <f ca="1"/>
        <v>#NAME?</v>
      </c>
      <c r="G26" t="e">
        <f ca="1"/>
        <v>#NAME?</v>
      </c>
      <c r="H26" s="25" t="e">
        <f ca="1"/>
        <v>#NAME?</v>
      </c>
    </row>
    <row r="27" spans="6:26" x14ac:dyDescent="0.35">
      <c r="F27" s="24" t="e">
        <f ca="1"/>
        <v>#NAME?</v>
      </c>
      <c r="G27" t="e">
        <f ca="1"/>
        <v>#NAME?</v>
      </c>
      <c r="H27" s="25" t="e">
        <f ca="1"/>
        <v>#NAME?</v>
      </c>
    </row>
    <row r="28" spans="6:26" x14ac:dyDescent="0.35">
      <c r="F28" s="24" t="e">
        <f ca="1"/>
        <v>#NAME?</v>
      </c>
      <c r="G28" t="e">
        <f ca="1"/>
        <v>#NAME?</v>
      </c>
      <c r="H28" s="25" t="e">
        <f ca="1"/>
        <v>#NAME?</v>
      </c>
    </row>
    <row r="29" spans="6:26" x14ac:dyDescent="0.35">
      <c r="F29" s="41" t="e">
        <f ca="1"/>
        <v>#NAME?</v>
      </c>
      <c r="G29" s="42" t="e">
        <f ca="1"/>
        <v>#NAME?</v>
      </c>
      <c r="H29" s="43" t="e">
        <f ca="1"/>
        <v>#NAME?</v>
      </c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Balanced</vt:lpstr>
      <vt:lpstr>Unbalanced 1</vt:lpstr>
      <vt:lpstr>Unbalanced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2024-06-19T16:00:44Z</dcterms:created>
  <dcterms:modified xsi:type="dcterms:W3CDTF">2025-10-17T07:46:40Z</dcterms:modified>
</cp:coreProperties>
</file>