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B6C9A64F-338D-4FB6-82B1-892E3F615599}" xr6:coauthVersionLast="47" xr6:coauthVersionMax="47" xr10:uidLastSave="{00000000-0000-0000-0000-000000000000}"/>
  <bookViews>
    <workbookView xWindow="-110" yWindow="-110" windowWidth="19420" windowHeight="10300" xr2:uid="{B44D2B22-8807-4AB8-B13F-55E7FB25C881}"/>
  </bookViews>
  <sheets>
    <sheet name="Title" sheetId="3" r:id="rId1"/>
    <sheet name="Rep Meas 2" sheetId="1" r:id="rId2"/>
    <sheet name="Rep Meas 2a" sheetId="2" r:id="rId3"/>
  </sheets>
  <externalReferences>
    <externalReference r:id="rId4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2" l="1"/>
  <c r="M8" i="2"/>
  <c r="L8" i="2"/>
  <c r="K8" i="2"/>
  <c r="J8" i="2"/>
  <c r="I8" i="2"/>
  <c r="M7" i="2"/>
  <c r="L7" i="2"/>
  <c r="K7" i="2"/>
  <c r="J7" i="2" a="1"/>
  <c r="J7" i="2" s="1"/>
  <c r="I7" i="2"/>
  <c r="M6" i="2"/>
  <c r="L6" i="2"/>
  <c r="K6" i="2"/>
  <c r="J6" i="2"/>
  <c r="N6" i="2" s="1"/>
  <c r="I6" i="2"/>
  <c r="P5" i="2" a="1"/>
  <c r="Q10" i="2" s="1"/>
  <c r="AH57" i="1"/>
  <c r="AF51" i="1" a="1"/>
  <c r="AF52" i="1" s="1"/>
  <c r="AH43" i="1"/>
  <c r="AF37" i="1" a="1"/>
  <c r="AF39" i="1" s="1"/>
  <c r="AA30" i="1" a="1"/>
  <c r="AD31" i="1" s="1"/>
  <c r="AH29" i="1"/>
  <c r="AA24" i="1" a="1"/>
  <c r="AA27" i="1" s="1"/>
  <c r="AF23" i="1" a="1"/>
  <c r="AF25" i="1" s="1"/>
  <c r="AJ25" i="1" s="1" a="1"/>
  <c r="AJ25" i="1" s="1"/>
  <c r="AA18" i="1" a="1"/>
  <c r="AC20" i="1" s="1"/>
  <c r="V18" i="1" a="1"/>
  <c r="Y21" i="1" s="1"/>
  <c r="AH15" i="1"/>
  <c r="BB13" i="1" a="1"/>
  <c r="BD13" i="1" s="1"/>
  <c r="AA12" i="1" a="1"/>
  <c r="AC15" i="1" s="1"/>
  <c r="AY9" i="1"/>
  <c r="AF9" i="1" a="1"/>
  <c r="AF9" i="1" s="1"/>
  <c r="O9" i="1"/>
  <c r="AY8" i="1"/>
  <c r="R8" i="1"/>
  <c r="Q8" i="1"/>
  <c r="P8" i="1"/>
  <c r="O8" i="1"/>
  <c r="AY7" i="1"/>
  <c r="R7" i="1"/>
  <c r="Q7" i="1"/>
  <c r="P7" i="1"/>
  <c r="O7" i="1"/>
  <c r="AY6" i="1"/>
  <c r="AS6" i="1" a="1"/>
  <c r="AV8" i="1" s="1"/>
  <c r="AA6" i="1" a="1"/>
  <c r="AB7" i="1" s="1"/>
  <c r="V6" i="1" a="1"/>
  <c r="X8" i="1" s="1"/>
  <c r="R6" i="1"/>
  <c r="Q6" i="1"/>
  <c r="P6" i="1"/>
  <c r="O6" i="1"/>
  <c r="AY5" i="1"/>
  <c r="F26" i="2"/>
  <c r="E26" i="2"/>
  <c r="F25" i="2"/>
  <c r="E25" i="2"/>
  <c r="F24" i="2"/>
  <c r="E24" i="2"/>
  <c r="F23" i="2"/>
  <c r="E23" i="2"/>
  <c r="F22" i="2"/>
  <c r="E22" i="2"/>
  <c r="F21" i="2"/>
  <c r="E21" i="2"/>
  <c r="F20" i="2"/>
  <c r="E20" i="2"/>
  <c r="F19" i="2"/>
  <c r="E19" i="2"/>
  <c r="F18" i="2"/>
  <c r="E18" i="2"/>
  <c r="F17" i="2"/>
  <c r="E17" i="2"/>
  <c r="F16" i="2"/>
  <c r="E16" i="2"/>
  <c r="F15" i="2"/>
  <c r="E15" i="2"/>
  <c r="F14" i="2"/>
  <c r="E14" i="2"/>
  <c r="F13" i="2"/>
  <c r="E13" i="2"/>
  <c r="F12" i="2"/>
  <c r="E12" i="2"/>
  <c r="F11" i="2"/>
  <c r="E11" i="2"/>
  <c r="F10" i="2"/>
  <c r="E10" i="2"/>
  <c r="F9" i="2"/>
  <c r="E9" i="2"/>
  <c r="F8" i="2"/>
  <c r="E8" i="2"/>
  <c r="F7" i="2"/>
  <c r="E7" i="2"/>
  <c r="F6" i="2"/>
  <c r="E6" i="2"/>
  <c r="E5" i="2"/>
  <c r="AI47" i="1"/>
  <c r="AI33" i="1"/>
  <c r="L26" i="1"/>
  <c r="K26" i="1"/>
  <c r="J26" i="1"/>
  <c r="I26" i="1"/>
  <c r="H26" i="1"/>
  <c r="L25" i="1"/>
  <c r="K25" i="1"/>
  <c r="J25" i="1"/>
  <c r="I25" i="1"/>
  <c r="H25" i="1"/>
  <c r="L24" i="1"/>
  <c r="K24" i="1"/>
  <c r="J24" i="1"/>
  <c r="I24" i="1"/>
  <c r="H24" i="1"/>
  <c r="L23" i="1"/>
  <c r="K23" i="1"/>
  <c r="J23" i="1"/>
  <c r="I23" i="1"/>
  <c r="H23" i="1"/>
  <c r="L22" i="1"/>
  <c r="K22" i="1"/>
  <c r="J22" i="1"/>
  <c r="I22" i="1"/>
  <c r="H22" i="1"/>
  <c r="L21" i="1"/>
  <c r="K21" i="1"/>
  <c r="J21" i="1"/>
  <c r="I21" i="1"/>
  <c r="H21" i="1"/>
  <c r="L20" i="1"/>
  <c r="K20" i="1"/>
  <c r="J20" i="1"/>
  <c r="I20" i="1"/>
  <c r="H20" i="1"/>
  <c r="AI19" i="1"/>
  <c r="L19" i="1"/>
  <c r="K19" i="1"/>
  <c r="J19" i="1"/>
  <c r="I19" i="1"/>
  <c r="H19" i="1"/>
  <c r="L18" i="1"/>
  <c r="K18" i="1"/>
  <c r="J18" i="1"/>
  <c r="I18" i="1"/>
  <c r="H18" i="1"/>
  <c r="L17" i="1"/>
  <c r="K17" i="1"/>
  <c r="J17" i="1"/>
  <c r="I17" i="1"/>
  <c r="H17" i="1"/>
  <c r="L16" i="1"/>
  <c r="K16" i="1"/>
  <c r="J16" i="1"/>
  <c r="I16" i="1"/>
  <c r="H16" i="1"/>
  <c r="L15" i="1"/>
  <c r="K15" i="1"/>
  <c r="J15" i="1"/>
  <c r="I15" i="1"/>
  <c r="H15" i="1"/>
  <c r="L14" i="1"/>
  <c r="K14" i="1"/>
  <c r="J14" i="1"/>
  <c r="I14" i="1"/>
  <c r="H14" i="1"/>
  <c r="L13" i="1"/>
  <c r="K13" i="1"/>
  <c r="J13" i="1"/>
  <c r="I13" i="1"/>
  <c r="H13" i="1"/>
  <c r="L12" i="1"/>
  <c r="K12" i="1"/>
  <c r="J12" i="1"/>
  <c r="I12" i="1"/>
  <c r="H12" i="1"/>
  <c r="L11" i="1"/>
  <c r="K11" i="1"/>
  <c r="J11" i="1"/>
  <c r="I11" i="1"/>
  <c r="H11" i="1"/>
  <c r="L10" i="1"/>
  <c r="AV18" i="1" s="1"/>
  <c r="K10" i="1"/>
  <c r="J10" i="1"/>
  <c r="I10" i="1"/>
  <c r="H10" i="1"/>
  <c r="L9" i="1"/>
  <c r="K9" i="1"/>
  <c r="J9" i="1"/>
  <c r="I9" i="1"/>
  <c r="H9" i="1"/>
  <c r="L8" i="1"/>
  <c r="K8" i="1"/>
  <c r="J8" i="1"/>
  <c r="I8" i="1"/>
  <c r="H8" i="1"/>
  <c r="BD7" i="1"/>
  <c r="BC7" i="1"/>
  <c r="L7" i="1"/>
  <c r="K7" i="1"/>
  <c r="J7" i="1"/>
  <c r="AT18" i="1" s="1"/>
  <c r="I7" i="1"/>
  <c r="H7" i="1"/>
  <c r="L6" i="1"/>
  <c r="K6" i="1"/>
  <c r="J6" i="1"/>
  <c r="I6" i="1"/>
  <c r="H6" i="1"/>
  <c r="BB5" i="1" a="1"/>
  <c r="AI5" i="1"/>
  <c r="H5" i="1"/>
  <c r="T6" i="1" l="1"/>
  <c r="AC13" i="1"/>
  <c r="AD13" i="1"/>
  <c r="AA14" i="1"/>
  <c r="AD15" i="1"/>
  <c r="AA8" i="1"/>
  <c r="AB8" i="1"/>
  <c r="AC8" i="1"/>
  <c r="R10" i="2"/>
  <c r="P11" i="2"/>
  <c r="W20" i="1"/>
  <c r="AD25" i="1"/>
  <c r="AA26" i="1"/>
  <c r="AS8" i="1"/>
  <c r="Q9" i="2"/>
  <c r="AT8" i="1"/>
  <c r="AC26" i="1"/>
  <c r="AU8" i="1"/>
  <c r="Y19" i="1"/>
  <c r="Q11" i="2"/>
  <c r="V21" i="1"/>
  <c r="AC32" i="1"/>
  <c r="AC25" i="1"/>
  <c r="Q8" i="2"/>
  <c r="AB27" i="1"/>
  <c r="AB13" i="1"/>
  <c r="AB26" i="1"/>
  <c r="V20" i="1"/>
  <c r="AS9" i="1"/>
  <c r="AS6" i="1"/>
  <c r="AS12" i="1" s="1" a="1"/>
  <c r="AT12" i="1" s="1"/>
  <c r="AT9" i="1"/>
  <c r="AT6" i="1"/>
  <c r="AU9" i="1"/>
  <c r="R11" i="2"/>
  <c r="AC27" i="1"/>
  <c r="Q5" i="2"/>
  <c r="T10" i="2" s="1"/>
  <c r="R6" i="2"/>
  <c r="V18" i="1"/>
  <c r="AC24" i="1"/>
  <c r="N8" i="2"/>
  <c r="AT7" i="1"/>
  <c r="Q7" i="2"/>
  <c r="AC7" i="1"/>
  <c r="AU7" i="1"/>
  <c r="AD12" i="1"/>
  <c r="W19" i="1"/>
  <c r="AA25" i="1"/>
  <c r="AA32" i="1"/>
  <c r="R7" i="2"/>
  <c r="AU6" i="1"/>
  <c r="AV9" i="1"/>
  <c r="P12" i="2"/>
  <c r="AV6" i="1"/>
  <c r="AB24" i="1"/>
  <c r="AD27" i="1"/>
  <c r="Q12" i="2"/>
  <c r="AS7" i="1"/>
  <c r="P7" i="2"/>
  <c r="V19" i="1"/>
  <c r="AD24" i="1"/>
  <c r="AD7" i="1"/>
  <c r="AV7" i="1"/>
  <c r="AA13" i="1"/>
  <c r="X19" i="1"/>
  <c r="AB25" i="1"/>
  <c r="AB32" i="1"/>
  <c r="P8" i="2"/>
  <c r="AF53" i="1"/>
  <c r="AH53" i="1" s="1"/>
  <c r="V7" i="1"/>
  <c r="AD8" i="1"/>
  <c r="AF10" i="1"/>
  <c r="AJ10" i="1" s="1" a="1"/>
  <c r="AJ10" i="1" s="1"/>
  <c r="BE13" i="1"/>
  <c r="AA19" i="1"/>
  <c r="AB33" i="1"/>
  <c r="W7" i="1"/>
  <c r="AA6" i="1"/>
  <c r="AA9" i="1"/>
  <c r="AF11" i="1"/>
  <c r="AB14" i="1"/>
  <c r="X20" i="1"/>
  <c r="AB19" i="1"/>
  <c r="AF23" i="1"/>
  <c r="AC30" i="1"/>
  <c r="AC33" i="1"/>
  <c r="R8" i="2"/>
  <c r="R12" i="2"/>
  <c r="AA30" i="1"/>
  <c r="AB30" i="1"/>
  <c r="X7" i="1"/>
  <c r="AB6" i="1"/>
  <c r="AB9" i="1"/>
  <c r="AC14" i="1"/>
  <c r="Y20" i="1"/>
  <c r="AC19" i="1"/>
  <c r="AF24" i="1"/>
  <c r="AD30" i="1"/>
  <c r="AD33" i="1"/>
  <c r="P5" i="2"/>
  <c r="T9" i="2" s="1"/>
  <c r="P9" i="2"/>
  <c r="AA18" i="1"/>
  <c r="W9" i="1"/>
  <c r="AF51" i="1"/>
  <c r="AJ51" i="1" s="1" a="1"/>
  <c r="AJ51" i="1" s="1"/>
  <c r="BC13" i="1"/>
  <c r="AC18" i="1"/>
  <c r="AD19" i="1"/>
  <c r="AA31" i="1"/>
  <c r="V8" i="1"/>
  <c r="AD6" i="1"/>
  <c r="AD9" i="1"/>
  <c r="AA12" i="1"/>
  <c r="AA15" i="1"/>
  <c r="W18" i="1"/>
  <c r="W21" i="1"/>
  <c r="AA20" i="1"/>
  <c r="AD26" i="1"/>
  <c r="AB31" i="1"/>
  <c r="AF37" i="1"/>
  <c r="R5" i="2"/>
  <c r="T11" i="2" s="1"/>
  <c r="R9" i="2"/>
  <c r="Y8" i="1"/>
  <c r="AD20" i="1"/>
  <c r="V9" i="1"/>
  <c r="BB13" i="1"/>
  <c r="AB21" i="1"/>
  <c r="X9" i="1"/>
  <c r="AC21" i="1"/>
  <c r="Y9" i="1"/>
  <c r="Y7" i="1"/>
  <c r="AC6" i="1"/>
  <c r="AC9" i="1"/>
  <c r="AD14" i="1"/>
  <c r="W8" i="1"/>
  <c r="AA7" i="1"/>
  <c r="AB12" i="1"/>
  <c r="AB15" i="1"/>
  <c r="X18" i="1"/>
  <c r="X21" i="1"/>
  <c r="AB20" i="1"/>
  <c r="AA24" i="1"/>
  <c r="AC31" i="1"/>
  <c r="AF38" i="1"/>
  <c r="P6" i="2"/>
  <c r="P10" i="2"/>
  <c r="V6" i="1"/>
  <c r="AA21" i="1"/>
  <c r="W6" i="1"/>
  <c r="AB18" i="1"/>
  <c r="X6" i="1"/>
  <c r="AD32" i="1"/>
  <c r="Y6" i="1"/>
  <c r="AD18" i="1"/>
  <c r="AD21" i="1"/>
  <c r="AA33" i="1"/>
  <c r="AC12" i="1"/>
  <c r="Y18" i="1"/>
  <c r="Q6" i="2"/>
  <c r="T8" i="1"/>
  <c r="N7" i="2"/>
  <c r="AG25" i="1"/>
  <c r="AK25" i="1" s="1"/>
  <c r="BD6" i="1"/>
  <c r="BD12" i="1" s="1"/>
  <c r="BF8" i="1"/>
  <c r="BC6" i="1"/>
  <c r="BC12" i="1" s="1"/>
  <c r="AI25" i="1"/>
  <c r="BB6" i="1"/>
  <c r="AH25" i="1"/>
  <c r="BF7" i="1"/>
  <c r="BE7" i="1"/>
  <c r="AH59" i="1"/>
  <c r="AH58" i="1" s="1"/>
  <c r="AL57" i="1" s="1"/>
  <c r="AU18" i="1"/>
  <c r="BP7" i="1"/>
  <c r="AS18" i="1"/>
  <c r="BP6" i="1"/>
  <c r="BB9" i="1"/>
  <c r="AH17" i="1"/>
  <c r="AH16" i="1" s="1"/>
  <c r="AL15" i="1" s="1"/>
  <c r="BB8" i="1"/>
  <c r="BF6" i="1"/>
  <c r="AH31" i="1"/>
  <c r="AH30" i="1" s="1"/>
  <c r="AL29" i="1" s="1"/>
  <c r="BC9" i="1"/>
  <c r="BC8" i="1"/>
  <c r="AG31" i="1"/>
  <c r="AG59" i="1"/>
  <c r="S8" i="1"/>
  <c r="AG17" i="1"/>
  <c r="AI52" i="1"/>
  <c r="AG52" i="1"/>
  <c r="AH52" i="1"/>
  <c r="T7" i="1"/>
  <c r="S7" i="1"/>
  <c r="BE5" i="1"/>
  <c r="BB5" i="1"/>
  <c r="S6" i="1"/>
  <c r="BE9" i="1"/>
  <c r="AH45" i="1"/>
  <c r="AH44" i="1" s="1"/>
  <c r="AL43" i="1" s="1"/>
  <c r="AG45" i="1"/>
  <c r="BE8" i="1"/>
  <c r="BD9" i="1"/>
  <c r="BC5" i="1"/>
  <c r="BD5" i="1"/>
  <c r="BD8" i="1"/>
  <c r="BB7" i="1"/>
  <c r="BE6" i="1"/>
  <c r="BE12" i="1" s="1"/>
  <c r="AJ52" i="1" a="1"/>
  <c r="AJ52" i="1" s="1"/>
  <c r="AH10" i="1" l="1"/>
  <c r="AI10" i="1"/>
  <c r="AI53" i="1"/>
  <c r="AJ53" i="1" a="1"/>
  <c r="AJ53" i="1" s="1"/>
  <c r="AG53" i="1"/>
  <c r="AS13" i="1"/>
  <c r="AT13" i="1"/>
  <c r="AG10" i="1"/>
  <c r="AK10" i="1" s="1"/>
  <c r="AT14" i="1"/>
  <c r="AI51" i="1"/>
  <c r="AS15" i="1"/>
  <c r="AS12" i="1"/>
  <c r="AP22" i="1" s="1" a="1"/>
  <c r="AP22" i="1" s="1"/>
  <c r="AQ22" i="1" s="1"/>
  <c r="AR22" i="1" s="1"/>
  <c r="AU14" i="1"/>
  <c r="AV14" i="1"/>
  <c r="AT15" i="1"/>
  <c r="AU12" i="1"/>
  <c r="AU13" i="1"/>
  <c r="AU15" i="1"/>
  <c r="AG51" i="1"/>
  <c r="AK51" i="1" s="1"/>
  <c r="AG58" i="1" s="1"/>
  <c r="AG57" i="1" s="1"/>
  <c r="AI57" i="1" s="1"/>
  <c r="AV13" i="1"/>
  <c r="AV12" i="1"/>
  <c r="AH51" i="1"/>
  <c r="AS14" i="1"/>
  <c r="AV15" i="1"/>
  <c r="AI24" i="1"/>
  <c r="AH24" i="1"/>
  <c r="AG24" i="1"/>
  <c r="AH37" i="1"/>
  <c r="AG37" i="1"/>
  <c r="AJ37" i="1" a="1"/>
  <c r="AJ37" i="1" s="1"/>
  <c r="AI37" i="1"/>
  <c r="AJ24" i="1" a="1"/>
  <c r="AJ24" i="1" s="1"/>
  <c r="AI38" i="1"/>
  <c r="AH38" i="1"/>
  <c r="AG38" i="1"/>
  <c r="AJ38" i="1" a="1"/>
  <c r="AJ38" i="1" s="1"/>
  <c r="BH22" i="1"/>
  <c r="AJ9" i="1" a="1"/>
  <c r="AJ9" i="1" s="1"/>
  <c r="AI9" i="1"/>
  <c r="AH9" i="1"/>
  <c r="AG9" i="1"/>
  <c r="W10" i="2"/>
  <c r="V10" i="2"/>
  <c r="Y10" i="2"/>
  <c r="X10" i="2"/>
  <c r="U10" i="2"/>
  <c r="AJ39" i="1" a="1"/>
  <c r="AJ39" i="1" s="1"/>
  <c r="AG39" i="1"/>
  <c r="AI39" i="1"/>
  <c r="AH39" i="1"/>
  <c r="BP9" i="1"/>
  <c r="BH21" i="1"/>
  <c r="BH23" i="1" s="1"/>
  <c r="AK52" i="1"/>
  <c r="BF11" i="1"/>
  <c r="BF9" i="1"/>
  <c r="AH23" i="1"/>
  <c r="AG23" i="1"/>
  <c r="AJ23" i="1" a="1"/>
  <c r="AJ23" i="1" s="1"/>
  <c r="AI23" i="1"/>
  <c r="V9" i="2"/>
  <c r="U9" i="2"/>
  <c r="W9" i="2"/>
  <c r="Y9" i="2"/>
  <c r="U16" i="2" s="1"/>
  <c r="V17" i="2"/>
  <c r="U17" i="2"/>
  <c r="X9" i="2"/>
  <c r="AI17" i="1"/>
  <c r="BP8" i="1"/>
  <c r="BB12" i="1"/>
  <c r="X11" i="2"/>
  <c r="W11" i="2"/>
  <c r="Y11" i="2"/>
  <c r="V11" i="2"/>
  <c r="U11" i="2"/>
  <c r="AI59" i="1"/>
  <c r="AI45" i="1"/>
  <c r="AI11" i="1"/>
  <c r="AH11" i="1"/>
  <c r="AG11" i="1"/>
  <c r="AJ11" i="1" a="1"/>
  <c r="AJ11" i="1" s="1"/>
  <c r="AI31" i="1"/>
  <c r="V15" i="2"/>
  <c r="BJ12" i="1" a="1"/>
  <c r="AK9" i="1" l="1"/>
  <c r="AG16" i="1" s="1"/>
  <c r="AI16" i="1" s="1"/>
  <c r="AN15" i="1" s="1"/>
  <c r="AK53" i="1"/>
  <c r="AP10" i="1" a="1"/>
  <c r="AP10" i="1" s="1"/>
  <c r="AQ10" i="1" s="1"/>
  <c r="AR10" i="1" s="1"/>
  <c r="AP7" i="1" a="1"/>
  <c r="AP7" i="1" s="1"/>
  <c r="AQ7" i="1" s="1"/>
  <c r="AR7" i="1" s="1"/>
  <c r="AP21" i="1" a="1"/>
  <c r="AP21" i="1" s="1"/>
  <c r="AQ21" i="1" s="1"/>
  <c r="AR21" i="1" s="1"/>
  <c r="AP11" i="1" a="1"/>
  <c r="AP11" i="1" s="1"/>
  <c r="AQ11" i="1" s="1"/>
  <c r="AR11" i="1" s="1"/>
  <c r="AP26" i="1" a="1"/>
  <c r="AP26" i="1" s="1"/>
  <c r="AQ26" i="1" s="1"/>
  <c r="AR26" i="1" s="1"/>
  <c r="AP20" i="1" a="1"/>
  <c r="AP20" i="1" s="1"/>
  <c r="AQ20" i="1" s="1"/>
  <c r="AR20" i="1" s="1"/>
  <c r="AP13" i="1" a="1"/>
  <c r="AP13" i="1" s="1"/>
  <c r="AQ13" i="1" s="1"/>
  <c r="AR13" i="1" s="1"/>
  <c r="AP25" i="1" a="1"/>
  <c r="AP25" i="1" s="1"/>
  <c r="AQ25" i="1" s="1"/>
  <c r="AR25" i="1" s="1"/>
  <c r="AP24" i="1" a="1"/>
  <c r="AP24" i="1" s="1"/>
  <c r="AQ24" i="1" s="1"/>
  <c r="AR24" i="1" s="1"/>
  <c r="AI58" i="1"/>
  <c r="AN57" i="1" s="1"/>
  <c r="AP6" i="1" a="1"/>
  <c r="AP6" i="1" s="1"/>
  <c r="AQ6" i="1" s="1"/>
  <c r="AR6" i="1" s="1"/>
  <c r="AP12" i="1" a="1"/>
  <c r="AP12" i="1" s="1"/>
  <c r="AQ12" i="1" s="1"/>
  <c r="AR12" i="1" s="1"/>
  <c r="AP8" i="1" a="1"/>
  <c r="AP8" i="1" s="1"/>
  <c r="AQ8" i="1" s="1"/>
  <c r="AR8" i="1" s="1"/>
  <c r="AP9" i="1" a="1"/>
  <c r="AP9" i="1" s="1"/>
  <c r="AQ9" i="1" s="1"/>
  <c r="AR9" i="1" s="1"/>
  <c r="AP15" i="1" a="1"/>
  <c r="AP15" i="1" s="1"/>
  <c r="AQ15" i="1" s="1"/>
  <c r="AR15" i="1" s="1"/>
  <c r="AP17" i="1" a="1"/>
  <c r="AP17" i="1" s="1"/>
  <c r="AQ17" i="1" s="1"/>
  <c r="AR17" i="1" s="1"/>
  <c r="AP16" i="1" a="1"/>
  <c r="AP16" i="1" s="1"/>
  <c r="AQ16" i="1" s="1"/>
  <c r="AR16" i="1" s="1"/>
  <c r="AP18" i="1" a="1"/>
  <c r="AP18" i="1" s="1"/>
  <c r="AQ18" i="1" s="1"/>
  <c r="AR18" i="1" s="1"/>
  <c r="AP23" i="1" a="1"/>
  <c r="AP23" i="1" s="1"/>
  <c r="AQ23" i="1" s="1"/>
  <c r="AR23" i="1" s="1"/>
  <c r="AP19" i="1" a="1"/>
  <c r="AP19" i="1" s="1"/>
  <c r="AQ19" i="1" s="1"/>
  <c r="AR19" i="1" s="1"/>
  <c r="AP14" i="1" a="1"/>
  <c r="AP14" i="1" s="1"/>
  <c r="AQ14" i="1" s="1"/>
  <c r="AR14" i="1" s="1"/>
  <c r="AK39" i="1"/>
  <c r="V16" i="2"/>
  <c r="W16" i="2" s="1"/>
  <c r="AK38" i="1"/>
  <c r="W17" i="2"/>
  <c r="U15" i="2"/>
  <c r="W15" i="2" s="1"/>
  <c r="BB23" i="1"/>
  <c r="V12" i="1" a="1"/>
  <c r="AK11" i="1"/>
  <c r="AL10" i="1"/>
  <c r="AL9" i="1"/>
  <c r="AM9" i="1" s="1"/>
  <c r="AM15" i="1"/>
  <c r="AL11" i="1"/>
  <c r="AM11" i="1" s="1"/>
  <c r="BL13" i="1"/>
  <c r="BK13" i="1"/>
  <c r="BJ13" i="1"/>
  <c r="BM12" i="1"/>
  <c r="BL12" i="1"/>
  <c r="BM15" i="1"/>
  <c r="BM14" i="1"/>
  <c r="BL14" i="1"/>
  <c r="BJ14" i="1"/>
  <c r="BK12" i="1"/>
  <c r="BL15" i="1"/>
  <c r="BK15" i="1"/>
  <c r="BJ15" i="1"/>
  <c r="BK14" i="1"/>
  <c r="BM13" i="1"/>
  <c r="BJ12" i="1"/>
  <c r="AK37" i="1"/>
  <c r="AG44" i="1" s="1"/>
  <c r="BJ6" i="1" a="1"/>
  <c r="AK24" i="1"/>
  <c r="BP10" i="1"/>
  <c r="BH17" i="1" s="1"/>
  <c r="BH18" i="1" s="1"/>
  <c r="AG15" i="1"/>
  <c r="AI15" i="1" s="1"/>
  <c r="AJ15" i="1" s="1"/>
  <c r="AK15" i="1" s="1"/>
  <c r="AK23" i="1"/>
  <c r="AG30" i="1" s="1"/>
  <c r="AJ57" i="1" l="1"/>
  <c r="AK57" i="1" s="1"/>
  <c r="AL52" i="1"/>
  <c r="AM57" i="1"/>
  <c r="Z15" i="2"/>
  <c r="AL51" i="1"/>
  <c r="AL53" i="1"/>
  <c r="AM53" i="1" s="1"/>
  <c r="X15" i="2"/>
  <c r="Y15" i="2" s="1"/>
  <c r="BB22" i="1"/>
  <c r="BB17" i="1"/>
  <c r="BB18" i="1"/>
  <c r="W13" i="1"/>
  <c r="V13" i="1"/>
  <c r="V14" i="1"/>
  <c r="Y13" i="1"/>
  <c r="X13" i="1"/>
  <c r="Y12" i="1"/>
  <c r="Y15" i="1"/>
  <c r="X15" i="1"/>
  <c r="W15" i="1"/>
  <c r="Y14" i="1"/>
  <c r="X14" i="1"/>
  <c r="X12" i="1"/>
  <c r="W12" i="1"/>
  <c r="V12" i="1"/>
  <c r="V15" i="1"/>
  <c r="W14" i="1"/>
  <c r="AN11" i="1"/>
  <c r="AN10" i="1"/>
  <c r="AM10" i="1"/>
  <c r="BK8" i="1"/>
  <c r="BM9" i="1"/>
  <c r="BL6" i="1"/>
  <c r="BL9" i="1"/>
  <c r="BK6" i="1"/>
  <c r="BK9" i="1"/>
  <c r="BJ6" i="1"/>
  <c r="BP5" i="1" s="1"/>
  <c r="BJ8" i="1"/>
  <c r="BL7" i="1"/>
  <c r="BK7" i="1"/>
  <c r="BJ9" i="1"/>
  <c r="BM8" i="1"/>
  <c r="BL8" i="1"/>
  <c r="BM7" i="1"/>
  <c r="BJ7" i="1"/>
  <c r="BM6" i="1"/>
  <c r="AM52" i="1"/>
  <c r="AN52" i="1"/>
  <c r="BC23" i="1"/>
  <c r="BC22" i="1"/>
  <c r="BC17" i="1"/>
  <c r="BC18" i="1"/>
  <c r="AI30" i="1"/>
  <c r="AG29" i="1"/>
  <c r="AI29" i="1" s="1"/>
  <c r="BD23" i="1"/>
  <c r="BD22" i="1"/>
  <c r="BD17" i="1"/>
  <c r="BD18" i="1"/>
  <c r="AM51" i="1"/>
  <c r="AN51" i="1"/>
  <c r="BE18" i="1"/>
  <c r="BE22" i="1"/>
  <c r="BE17" i="1"/>
  <c r="BE23" i="1"/>
  <c r="AI44" i="1"/>
  <c r="AG43" i="1"/>
  <c r="AI43" i="1" s="1"/>
  <c r="AN53" i="1"/>
  <c r="AN9" i="1"/>
  <c r="Z9" i="2"/>
  <c r="Z10" i="2"/>
  <c r="Z11" i="2"/>
  <c r="AA15" i="2"/>
  <c r="AB15" i="2"/>
  <c r="AJ43" i="1" l="1"/>
  <c r="AK43" i="1" s="1"/>
  <c r="AJ29" i="1"/>
  <c r="AK29" i="1" s="1"/>
  <c r="BP11" i="1"/>
  <c r="BP12" i="1" s="1"/>
  <c r="BP13" i="1"/>
  <c r="AB10" i="2"/>
  <c r="AA10" i="2"/>
  <c r="AL39" i="1"/>
  <c r="AM43" i="1"/>
  <c r="AL38" i="1"/>
  <c r="AL37" i="1"/>
  <c r="AN43" i="1"/>
  <c r="AL23" i="1"/>
  <c r="AL25" i="1"/>
  <c r="AL24" i="1"/>
  <c r="AM29" i="1"/>
  <c r="AN29" i="1"/>
  <c r="AB11" i="2"/>
  <c r="AA11" i="2"/>
  <c r="AB9" i="2"/>
  <c r="AA9" i="2"/>
  <c r="AN24" i="1" l="1"/>
  <c r="AM24" i="1"/>
  <c r="AN25" i="1"/>
  <c r="AM25" i="1"/>
  <c r="AN23" i="1"/>
  <c r="AM23" i="1"/>
  <c r="AN37" i="1"/>
  <c r="AM37" i="1"/>
  <c r="AN38" i="1"/>
  <c r="AM38" i="1"/>
  <c r="AM39" i="1"/>
  <c r="AN39" i="1"/>
</calcChain>
</file>

<file path=xl/sharedStrings.xml><?xml version="1.0" encoding="utf-8"?>
<sst xmlns="http://schemas.openxmlformats.org/spreadsheetml/2006/main" count="268" uniqueCount="87">
  <si>
    <t>Repeated measures design using MANOVA</t>
  </si>
  <si>
    <t>Reformatted Data</t>
  </si>
  <si>
    <t>MANOVA</t>
  </si>
  <si>
    <t>SSCP Matrices</t>
  </si>
  <si>
    <t>Group Covariance Matrices</t>
  </si>
  <si>
    <t>Multiple ANOVA</t>
  </si>
  <si>
    <t>Outliers via Mahalanobis D-squared</t>
  </si>
  <si>
    <t>Box's Test</t>
  </si>
  <si>
    <t>Group Means and Contrasts</t>
  </si>
  <si>
    <t>Age</t>
  </si>
  <si>
    <t>Day 1</t>
  </si>
  <si>
    <t>Day 2</t>
  </si>
  <si>
    <t>Day 3</t>
  </si>
  <si>
    <t>Day 4</t>
  </si>
  <si>
    <t>Day 5</t>
  </si>
  <si>
    <t>Diff  1</t>
  </si>
  <si>
    <t>Diff  2</t>
  </si>
  <si>
    <t>Diff  3</t>
  </si>
  <si>
    <t>Diff  4</t>
  </si>
  <si>
    <t>stat</t>
  </si>
  <si>
    <t>F</t>
  </si>
  <si>
    <t>df1</t>
  </si>
  <si>
    <t>df2</t>
  </si>
  <si>
    <t>p-value</t>
  </si>
  <si>
    <t>eta-sq</t>
  </si>
  <si>
    <t>T</t>
  </si>
  <si>
    <t>Middle</t>
  </si>
  <si>
    <t>ANOVA: Single Factor</t>
  </si>
  <si>
    <t>D-sq</t>
  </si>
  <si>
    <t>Covariance Matrix</t>
  </si>
  <si>
    <t>M</t>
  </si>
  <si>
    <t>Count</t>
  </si>
  <si>
    <t>Contrast</t>
  </si>
  <si>
    <t>H-contrast</t>
  </si>
  <si>
    <t>Wilks</t>
  </si>
  <si>
    <t>Young</t>
  </si>
  <si>
    <t>Pillai Trace</t>
  </si>
  <si>
    <t># sample</t>
  </si>
  <si>
    <t>Wilk's Lambda</t>
  </si>
  <si>
    <t>DESCRIPTION</t>
  </si>
  <si>
    <t>Alpha</t>
  </si>
  <si>
    <t>Old</t>
  </si>
  <si>
    <t># dep</t>
  </si>
  <si>
    <t>Hotelling Trace</t>
  </si>
  <si>
    <t>Groups</t>
  </si>
  <si>
    <t>Sum</t>
  </si>
  <si>
    <t>Mean</t>
  </si>
  <si>
    <t>Variance</t>
  </si>
  <si>
    <t>SS</t>
  </si>
  <si>
    <t>Std Err</t>
  </si>
  <si>
    <t>Lower</t>
  </si>
  <si>
    <t>Upper</t>
  </si>
  <si>
    <t># indep</t>
  </si>
  <si>
    <t>Roy's Lg Root</t>
  </si>
  <si>
    <t>Total</t>
  </si>
  <si>
    <t>H</t>
  </si>
  <si>
    <t>Inverse of covariance Matrix</t>
  </si>
  <si>
    <t>c^2/n</t>
  </si>
  <si>
    <t>E</t>
  </si>
  <si>
    <t>mean</t>
  </si>
  <si>
    <t>ANOVA</t>
  </si>
  <si>
    <t>s.e.</t>
  </si>
  <si>
    <t>effect</t>
  </si>
  <si>
    <t>Sources</t>
  </si>
  <si>
    <t>df</t>
  </si>
  <si>
    <t>MS</t>
  </si>
  <si>
    <t>P value</t>
  </si>
  <si>
    <t>F crit</t>
  </si>
  <si>
    <t>RMSSE</t>
  </si>
  <si>
    <t>Omega Sq</t>
  </si>
  <si>
    <t>Between Groups</t>
  </si>
  <si>
    <t>Simultaneous confidence intervals</t>
  </si>
  <si>
    <t>Within Groups</t>
  </si>
  <si>
    <t>Mean vector</t>
  </si>
  <si>
    <t>lower</t>
  </si>
  <si>
    <t>F-crit</t>
  </si>
  <si>
    <t>upper</t>
  </si>
  <si>
    <t>Bonferroni confidence intervals</t>
  </si>
  <si>
    <t>Pooled covariance matrix</t>
  </si>
  <si>
    <t>t-crit</t>
  </si>
  <si>
    <t>Correlation matrix</t>
  </si>
  <si>
    <t>Repeated measures design using MANOVA/ANOVA</t>
  </si>
  <si>
    <t>Input in Excel Anova format</t>
  </si>
  <si>
    <t>Real Statistics Using Excel</t>
  </si>
  <si>
    <t>Updated</t>
  </si>
  <si>
    <t>Copyright © 2013 - 2025 Charles Zaiontz</t>
  </si>
  <si>
    <t>Two Factor Multivariate Repeated Measures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</si>
</sst>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0E0E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Alignment="1">
      <alignment horizontal="left"/>
    </xf>
    <xf numFmtId="0" fontId="0" fillId="0" borderId="16" xfId="0" applyBorder="1"/>
    <xf numFmtId="0" fontId="0" fillId="3" borderId="3" xfId="0" applyFill="1" applyBorder="1"/>
    <xf numFmtId="0" fontId="0" fillId="2" borderId="17" xfId="0" applyFill="1" applyBorder="1"/>
    <xf numFmtId="0" fontId="0" fillId="2" borderId="0" xfId="0" applyFill="1"/>
    <xf numFmtId="0" fontId="0" fillId="2" borderId="18" xfId="0" applyFill="1" applyBorder="1"/>
    <xf numFmtId="0" fontId="0" fillId="0" borderId="19" xfId="0" applyBorder="1"/>
    <xf numFmtId="0" fontId="0" fillId="3" borderId="16" xfId="0" applyFill="1" applyBorder="1"/>
    <xf numFmtId="0" fontId="0" fillId="0" borderId="20" xfId="0" applyBorder="1"/>
    <xf numFmtId="0" fontId="0" fillId="3" borderId="20" xfId="0" applyFill="1" applyBorder="1"/>
    <xf numFmtId="0" fontId="0" fillId="0" borderId="1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/>
    <xf numFmtId="0" fontId="0" fillId="2" borderId="1" xfId="0" applyFill="1" applyBorder="1"/>
    <xf numFmtId="0" fontId="0" fillId="2" borderId="26" xfId="0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17" xfId="0" applyBorder="1"/>
    <xf numFmtId="0" fontId="0" fillId="0" borderId="18" xfId="0" applyBorder="1"/>
    <xf numFmtId="0" fontId="0" fillId="0" borderId="27" xfId="0" applyBorder="1"/>
    <xf numFmtId="0" fontId="0" fillId="0" borderId="25" xfId="0" applyBorder="1"/>
    <xf numFmtId="0" fontId="0" fillId="0" borderId="26" xfId="0" applyBorder="1"/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EB5D5-5372-464D-BA46-DF3D221B212E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83</v>
      </c>
    </row>
    <row r="2" spans="1:2" x14ac:dyDescent="0.35">
      <c r="A2" t="s">
        <v>86</v>
      </c>
    </row>
    <row r="4" spans="1:2" x14ac:dyDescent="0.35">
      <c r="A4" t="s">
        <v>84</v>
      </c>
      <c r="B4" s="45">
        <v>45960</v>
      </c>
    </row>
    <row r="6" spans="1:2" x14ac:dyDescent="0.35">
      <c r="A6" s="46" t="s"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AB1B9-620B-47C0-BA47-2D1901E6FB89}">
  <dimension ref="A1:BP59"/>
  <sheetViews>
    <sheetView workbookViewId="0"/>
  </sheetViews>
  <sheetFormatPr defaultRowHeight="14.5" x14ac:dyDescent="0.35"/>
  <cols>
    <col min="2" max="6" width="6.54296875" customWidth="1"/>
    <col min="14" max="14" width="14.26953125" customWidth="1"/>
  </cols>
  <sheetData>
    <row r="1" spans="1:68" x14ac:dyDescent="0.35">
      <c r="A1" s="1" t="s">
        <v>0</v>
      </c>
    </row>
    <row r="3" spans="1:68" x14ac:dyDescent="0.35">
      <c r="H3" t="s">
        <v>1</v>
      </c>
      <c r="N3" t="s">
        <v>2</v>
      </c>
      <c r="V3" t="s">
        <v>3</v>
      </c>
      <c r="AA3" t="s">
        <v>4</v>
      </c>
      <c r="AF3" t="s">
        <v>5</v>
      </c>
      <c r="AP3" t="s">
        <v>6</v>
      </c>
      <c r="AX3" t="s">
        <v>7</v>
      </c>
      <c r="BA3" t="s">
        <v>8</v>
      </c>
    </row>
    <row r="4" spans="1:68" ht="15" thickBot="1" x14ac:dyDescent="0.4"/>
    <row r="5" spans="1:68" ht="15" thickTop="1" x14ac:dyDescent="0.35">
      <c r="A5" s="2" t="s">
        <v>9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H5" s="4" t="str">
        <f>A5</f>
        <v>Age</v>
      </c>
      <c r="I5" s="3" t="s">
        <v>15</v>
      </c>
      <c r="J5" s="3" t="s">
        <v>16</v>
      </c>
      <c r="K5" s="3" t="s">
        <v>17</v>
      </c>
      <c r="L5" s="3" t="s">
        <v>18</v>
      </c>
      <c r="N5" s="5"/>
      <c r="O5" s="5" t="s">
        <v>19</v>
      </c>
      <c r="P5" s="5" t="s">
        <v>20</v>
      </c>
      <c r="Q5" s="5" t="s">
        <v>21</v>
      </c>
      <c r="R5" s="5" t="s">
        <v>22</v>
      </c>
      <c r="S5" s="5" t="s">
        <v>23</v>
      </c>
      <c r="T5" s="5" t="s">
        <v>24</v>
      </c>
      <c r="V5" t="s">
        <v>25</v>
      </c>
      <c r="AA5" t="s">
        <v>26</v>
      </c>
      <c r="AF5" t="s">
        <v>27</v>
      </c>
      <c r="AI5" t="str">
        <f>I5</f>
        <v>Diff  1</v>
      </c>
      <c r="AP5" s="4" t="s">
        <v>28</v>
      </c>
      <c r="AQ5" s="4" t="s">
        <v>23</v>
      </c>
      <c r="AS5" t="s">
        <v>29</v>
      </c>
      <c r="AX5" t="s">
        <v>30</v>
      </c>
      <c r="AY5" s="6" t="e">
        <f ca="1">BOXM(H6:L26)</f>
        <v>#NAME?</v>
      </c>
      <c r="BB5" s="4" t="str">
        <f t="array" ref="BB5:BE5">$I$5:$L$5</f>
        <v>Diff  1</v>
      </c>
      <c r="BC5" s="4" t="str">
        <v>Diff  2</v>
      </c>
      <c r="BD5" s="4" t="str">
        <v>Diff  3</v>
      </c>
      <c r="BE5" s="4" t="str">
        <v>Diff  4</v>
      </c>
      <c r="BF5" s="4" t="s">
        <v>31</v>
      </c>
      <c r="BH5" s="4" t="s">
        <v>32</v>
      </c>
      <c r="BJ5" t="s">
        <v>33</v>
      </c>
      <c r="BO5" t="s">
        <v>34</v>
      </c>
      <c r="BP5" s="6" t="e">
        <f ca="1">MDETERM(BJ12:BM15)/MDETERM(BJ6:BM9+BJ12:BM15)</f>
        <v>#NAME?</v>
      </c>
    </row>
    <row r="6" spans="1:68" x14ac:dyDescent="0.35">
      <c r="A6" t="s">
        <v>35</v>
      </c>
      <c r="B6" s="7">
        <v>250</v>
      </c>
      <c r="C6" s="8">
        <v>278</v>
      </c>
      <c r="D6" s="8">
        <v>442</v>
      </c>
      <c r="E6" s="8">
        <v>368</v>
      </c>
      <c r="F6" s="9">
        <v>456</v>
      </c>
      <c r="H6" s="10" t="str">
        <f t="shared" ref="H6:H26" si="0">A6</f>
        <v>Young</v>
      </c>
      <c r="I6" s="11">
        <f>C6-B6</f>
        <v>28</v>
      </c>
      <c r="J6" s="12">
        <f>D6-C6</f>
        <v>164</v>
      </c>
      <c r="K6" s="12">
        <f>E6-D6</f>
        <v>-74</v>
      </c>
      <c r="L6" s="13">
        <f>F6-E6</f>
        <v>88</v>
      </c>
      <c r="N6" t="s">
        <v>36</v>
      </c>
      <c r="O6" t="e">
        <f ca="1">MANOVA_PillaiTrace(H6:L26)</f>
        <v>#NAME?</v>
      </c>
      <c r="P6" t="e">
        <f ca="1">MANOVA_PillaiF(H6:L26)</f>
        <v>#NAME?</v>
      </c>
      <c r="Q6" t="e">
        <f ca="1">MANOVA_Pillaidf1(H6:L26)</f>
        <v>#NAME?</v>
      </c>
      <c r="R6" t="e">
        <f ca="1">MANOVA_Pillaidf2(H6:L26)</f>
        <v>#NAME?</v>
      </c>
      <c r="S6" t="e">
        <f ca="1">FDIST(P6,Q6,R6)</f>
        <v>#NAME?</v>
      </c>
      <c r="T6" t="e">
        <f ca="1">P6*Q6/(P6*Q6+R6)</f>
        <v>#NAME?</v>
      </c>
      <c r="V6" s="11" t="e">
        <f t="array" aca="1" ref="V6:Y9" ca="1">COVP(I6:L26)*COUNT(I6:I26)</f>
        <v>#NAME?</v>
      </c>
      <c r="W6" s="12" t="e">
        <f ca="1"/>
        <v>#NAME?</v>
      </c>
      <c r="X6" s="12" t="e">
        <f ca="1"/>
        <v>#NAME?</v>
      </c>
      <c r="Y6" s="13" t="e">
        <f ca="1"/>
        <v>#NAME?</v>
      </c>
      <c r="AA6" s="11" t="e">
        <f t="array" aca="1" ref="AA6:AD9" ca="1">ExtractCov(H6:L26,AA5)</f>
        <v>#NAME?</v>
      </c>
      <c r="AB6" s="12" t="e">
        <f ca="1"/>
        <v>#NAME?</v>
      </c>
      <c r="AC6" s="12" t="e">
        <f ca="1"/>
        <v>#NAME?</v>
      </c>
      <c r="AD6" s="13" t="e">
        <f ca="1"/>
        <v>#NAME?</v>
      </c>
      <c r="AP6" s="11" t="e">
        <f t="array" aca="1" ref="AP6" ca="1">MMULT(I6:L6-$AS$18:$AV$18,MMULT($AS$12:$AV$15,TRANSPOSE(I6:L6-$AS$18:$AV$18)))</f>
        <v>#NAME?</v>
      </c>
      <c r="AQ6" s="13" t="e">
        <f ca="1">CHIDIST(AP6,COUNT($I$6:$L$6))</f>
        <v>#NAME?</v>
      </c>
      <c r="AR6" s="19" t="e">
        <f ca="1">IF(AQ6&lt;0.001,"*","")</f>
        <v>#NAME?</v>
      </c>
      <c r="AS6" s="11" t="e">
        <f t="array" aca="1" ref="AS6:AV9" ca="1">COV(I6:L26)</f>
        <v>#NAME?</v>
      </c>
      <c r="AT6" s="12" t="e">
        <f ca="1"/>
        <v>#NAME?</v>
      </c>
      <c r="AU6" s="12" t="e">
        <f ca="1"/>
        <v>#NAME?</v>
      </c>
      <c r="AV6" s="13" t="e">
        <f ca="1"/>
        <v>#NAME?</v>
      </c>
      <c r="AX6" t="s">
        <v>20</v>
      </c>
      <c r="AY6" s="20" t="e">
        <f ca="1">BOXF(H6:L26)</f>
        <v>#NAME?</v>
      </c>
      <c r="BA6" t="s">
        <v>26</v>
      </c>
      <c r="BB6" s="11">
        <f t="shared" ref="BB6:BE8" si="1">AVERAGEIF($H$6:$H$26,$BA6,I$6:I$26)</f>
        <v>64.714285714285708</v>
      </c>
      <c r="BC6" s="12">
        <f t="shared" si="1"/>
        <v>198.28571428571428</v>
      </c>
      <c r="BD6" s="12">
        <f t="shared" si="1"/>
        <v>-35.857142857142854</v>
      </c>
      <c r="BE6" s="13">
        <f t="shared" si="1"/>
        <v>28.285714285714285</v>
      </c>
      <c r="BF6" s="6">
        <f>COUNTIF($H$6:$H$26,BA6)</f>
        <v>7</v>
      </c>
      <c r="BH6" s="21">
        <v>1</v>
      </c>
      <c r="BJ6" s="11">
        <f t="array" ref="BJ6:BM9">MMULT(TRANSPOSE(BB12:BE12),BB12:BE12)/BF11</f>
        <v>26231.142857142855</v>
      </c>
      <c r="BK6" s="12">
        <v>-20430.857142857141</v>
      </c>
      <c r="BL6" s="12">
        <v>12293.142857142857</v>
      </c>
      <c r="BM6" s="13">
        <v>-13505.142857142857</v>
      </c>
      <c r="BO6" t="s">
        <v>37</v>
      </c>
      <c r="BP6" s="20">
        <f>COUNT($I$6:$I$26)</f>
        <v>21</v>
      </c>
    </row>
    <row r="7" spans="1:68" ht="15" thickBot="1" x14ac:dyDescent="0.4">
      <c r="A7" t="s">
        <v>35</v>
      </c>
      <c r="B7" s="22">
        <v>65</v>
      </c>
      <c r="C7" s="23">
        <v>207</v>
      </c>
      <c r="D7" s="23">
        <v>341</v>
      </c>
      <c r="E7" s="23">
        <v>382</v>
      </c>
      <c r="F7" s="24">
        <v>298</v>
      </c>
      <c r="H7" s="25" t="str">
        <f t="shared" si="0"/>
        <v>Young</v>
      </c>
      <c r="I7" s="14">
        <f t="shared" ref="I7:L26" si="2">C7-B7</f>
        <v>142</v>
      </c>
      <c r="J7">
        <f t="shared" si="2"/>
        <v>134</v>
      </c>
      <c r="K7">
        <f t="shared" si="2"/>
        <v>41</v>
      </c>
      <c r="L7" s="15">
        <f t="shared" si="2"/>
        <v>-84</v>
      </c>
      <c r="N7" t="s">
        <v>38</v>
      </c>
      <c r="O7" t="e">
        <f ca="1">MANOVA_WilksLambda(H6:L26)</f>
        <v>#NAME?</v>
      </c>
      <c r="P7" t="e">
        <f ca="1">MANOVA_WilksF(H6:L26)</f>
        <v>#NAME?</v>
      </c>
      <c r="Q7" t="e">
        <f ca="1">MANOVA_Wilksdf1(H6:L26)</f>
        <v>#NAME?</v>
      </c>
      <c r="R7" t="e">
        <f ca="1">MANOVA_Wilksdf2(H6:L26)</f>
        <v>#NAME?</v>
      </c>
      <c r="S7" t="e">
        <f ca="1">FDIST(P7,Q7,R7)</f>
        <v>#NAME?</v>
      </c>
      <c r="T7" t="e">
        <f ca="1">P7*Q7/(P7*Q7+R7)</f>
        <v>#NAME?</v>
      </c>
      <c r="V7" s="14" t="e">
        <f ca="1"/>
        <v>#NAME?</v>
      </c>
      <c r="W7" t="e">
        <f ca="1"/>
        <v>#NAME?</v>
      </c>
      <c r="X7" t="e">
        <f ca="1"/>
        <v>#NAME?</v>
      </c>
      <c r="Y7" s="15" t="e">
        <f ca="1"/>
        <v>#NAME?</v>
      </c>
      <c r="AA7" s="14" t="e">
        <f ca="1"/>
        <v>#NAME?</v>
      </c>
      <c r="AB7" t="e">
        <f ca="1"/>
        <v>#NAME?</v>
      </c>
      <c r="AC7" t="e">
        <f ca="1"/>
        <v>#NAME?</v>
      </c>
      <c r="AD7" s="15" t="e">
        <f ca="1"/>
        <v>#NAME?</v>
      </c>
      <c r="AF7" t="s">
        <v>39</v>
      </c>
      <c r="AK7" t="s">
        <v>40</v>
      </c>
      <c r="AL7">
        <v>1.2500000000000001E-2</v>
      </c>
      <c r="AP7" s="14" t="e">
        <f t="array" aca="1" ref="AP7" ca="1">MMULT(I7:L7-$AS$18:$AV$18,MMULT($AS$12:$AV$15,TRANSPOSE(I7:L7-$AS$18:$AV$18)))</f>
        <v>#NAME?</v>
      </c>
      <c r="AQ7" s="15" t="e">
        <f t="shared" ref="AQ7:AQ26" ca="1" si="3">CHIDIST(AP7,COUNT($I$6:$L$6))</f>
        <v>#NAME?</v>
      </c>
      <c r="AR7" s="19" t="e">
        <f t="shared" ref="AR7:AR26" ca="1" si="4">IF(AQ7&lt;0.001,"*","")</f>
        <v>#NAME?</v>
      </c>
      <c r="AS7" s="14" t="e">
        <f ca="1"/>
        <v>#NAME?</v>
      </c>
      <c r="AT7" t="e">
        <f ca="1"/>
        <v>#NAME?</v>
      </c>
      <c r="AU7" t="e">
        <f ca="1"/>
        <v>#NAME?</v>
      </c>
      <c r="AV7" s="15" t="e">
        <f ca="1"/>
        <v>#NAME?</v>
      </c>
      <c r="AX7" t="s">
        <v>21</v>
      </c>
      <c r="AY7" s="20" t="e">
        <f ca="1">BOXdf1(H6:L26)</f>
        <v>#NAME?</v>
      </c>
      <c r="BA7" t="s">
        <v>41</v>
      </c>
      <c r="BB7" s="14">
        <f t="shared" si="1"/>
        <v>151.28571428571428</v>
      </c>
      <c r="BC7">
        <f t="shared" si="1"/>
        <v>130.85714285714286</v>
      </c>
      <c r="BD7">
        <f t="shared" si="1"/>
        <v>4.7142857142857144</v>
      </c>
      <c r="BE7" s="15">
        <f t="shared" si="1"/>
        <v>-16.285714285714285</v>
      </c>
      <c r="BF7" s="20">
        <f>COUNTIF($H$6:$H$26,BA7)</f>
        <v>7</v>
      </c>
      <c r="BH7" s="26">
        <v>-1</v>
      </c>
      <c r="BJ7" s="14">
        <v>-20430.857142857141</v>
      </c>
      <c r="BK7">
        <v>15913.142857142853</v>
      </c>
      <c r="BL7">
        <v>-9574.8571428571413</v>
      </c>
      <c r="BM7" s="15">
        <v>10518.857142857141</v>
      </c>
      <c r="BO7" t="s">
        <v>42</v>
      </c>
      <c r="BP7" s="20">
        <f>COUNT($I$6:$L$6)</f>
        <v>4</v>
      </c>
    </row>
    <row r="8" spans="1:68" ht="15" thickTop="1" x14ac:dyDescent="0.35">
      <c r="A8" t="s">
        <v>35</v>
      </c>
      <c r="B8" s="22">
        <v>251</v>
      </c>
      <c r="C8" s="23">
        <v>261</v>
      </c>
      <c r="D8" s="23">
        <v>384</v>
      </c>
      <c r="E8" s="23">
        <v>421</v>
      </c>
      <c r="F8" s="24">
        <v>342</v>
      </c>
      <c r="H8" s="25" t="str">
        <f t="shared" si="0"/>
        <v>Young</v>
      </c>
      <c r="I8" s="14">
        <f t="shared" si="2"/>
        <v>10</v>
      </c>
      <c r="J8">
        <f t="shared" si="2"/>
        <v>123</v>
      </c>
      <c r="K8">
        <f t="shared" si="2"/>
        <v>37</v>
      </c>
      <c r="L8" s="15">
        <f t="shared" si="2"/>
        <v>-79</v>
      </c>
      <c r="N8" t="s">
        <v>43</v>
      </c>
      <c r="O8" t="e">
        <f ca="1">MANOVA_HotelTrace(H6:L26)</f>
        <v>#NAME?</v>
      </c>
      <c r="P8" t="e">
        <f ca="1">MANOVA_HotelF(H6:L26)</f>
        <v>#NAME?</v>
      </c>
      <c r="Q8" t="e">
        <f ca="1">MANOVA_Hoteldf1(H6:L26)</f>
        <v>#NAME?</v>
      </c>
      <c r="R8" t="e">
        <f ca="1">MANOVA_Hoteldf2(H6:L26)</f>
        <v>#NAME?</v>
      </c>
      <c r="S8" t="e">
        <f ca="1">FDIST(P8,Q8,R8)</f>
        <v>#NAME?</v>
      </c>
      <c r="T8" t="e">
        <f ca="1">P8*Q8/(P8*Q8+R8)</f>
        <v>#NAME?</v>
      </c>
      <c r="V8" s="14" t="e">
        <f ca="1"/>
        <v>#NAME?</v>
      </c>
      <c r="W8" t="e">
        <f ca="1"/>
        <v>#NAME?</v>
      </c>
      <c r="X8" t="e">
        <f ca="1"/>
        <v>#NAME?</v>
      </c>
      <c r="Y8" s="15" t="e">
        <f ca="1"/>
        <v>#NAME?</v>
      </c>
      <c r="AA8" s="14" t="e">
        <f ca="1"/>
        <v>#NAME?</v>
      </c>
      <c r="AB8" t="e">
        <f ca="1"/>
        <v>#NAME?</v>
      </c>
      <c r="AC8" t="e">
        <f ca="1"/>
        <v>#NAME?</v>
      </c>
      <c r="AD8" s="15" t="e">
        <f ca="1"/>
        <v>#NAME?</v>
      </c>
      <c r="AF8" s="5" t="s">
        <v>44</v>
      </c>
      <c r="AG8" s="5" t="s">
        <v>31</v>
      </c>
      <c r="AH8" s="5" t="s">
        <v>45</v>
      </c>
      <c r="AI8" s="5" t="s">
        <v>46</v>
      </c>
      <c r="AJ8" s="5" t="s">
        <v>47</v>
      </c>
      <c r="AK8" s="5" t="s">
        <v>48</v>
      </c>
      <c r="AL8" s="5" t="s">
        <v>49</v>
      </c>
      <c r="AM8" s="5" t="s">
        <v>50</v>
      </c>
      <c r="AN8" s="5" t="s">
        <v>51</v>
      </c>
      <c r="AP8" s="14" t="e">
        <f t="array" aca="1" ref="AP8" ca="1">MMULT(I8:L8-$AS$18:$AV$18,MMULT($AS$12:$AV$15,TRANSPOSE(I8:L8-$AS$18:$AV$18)))</f>
        <v>#NAME?</v>
      </c>
      <c r="AQ8" s="15" t="e">
        <f t="shared" ca="1" si="3"/>
        <v>#NAME?</v>
      </c>
      <c r="AR8" s="19" t="e">
        <f t="shared" ca="1" si="4"/>
        <v>#NAME?</v>
      </c>
      <c r="AS8" s="14" t="e">
        <f ca="1"/>
        <v>#NAME?</v>
      </c>
      <c r="AT8" t="e">
        <f ca="1"/>
        <v>#NAME?</v>
      </c>
      <c r="AU8" t="e">
        <f ca="1"/>
        <v>#NAME?</v>
      </c>
      <c r="AV8" s="15" t="e">
        <f ca="1"/>
        <v>#NAME?</v>
      </c>
      <c r="AX8" t="s">
        <v>22</v>
      </c>
      <c r="AY8" s="20" t="e">
        <f ca="1">BOXdf2(H6:L26)</f>
        <v>#NAME?</v>
      </c>
      <c r="BA8" t="s">
        <v>35</v>
      </c>
      <c r="BB8" s="16">
        <f t="shared" si="1"/>
        <v>75</v>
      </c>
      <c r="BC8" s="17">
        <f t="shared" si="1"/>
        <v>123</v>
      </c>
      <c r="BD8" s="17">
        <f t="shared" si="1"/>
        <v>-20.285714285714285</v>
      </c>
      <c r="BE8" s="18">
        <f t="shared" si="1"/>
        <v>21.142857142857142</v>
      </c>
      <c r="BF8" s="27">
        <f>COUNTIF($H$6:$H$26,BA8)</f>
        <v>7</v>
      </c>
      <c r="BH8" s="28"/>
      <c r="BJ8" s="14">
        <v>12293.142857142857</v>
      </c>
      <c r="BK8">
        <v>-9574.8571428571413</v>
      </c>
      <c r="BL8">
        <v>5761.1428571428569</v>
      </c>
      <c r="BM8" s="15">
        <v>-6329.1428571428569</v>
      </c>
      <c r="BO8" t="s">
        <v>52</v>
      </c>
      <c r="BP8" s="20">
        <f>COUNT(BB6:BB8)</f>
        <v>3</v>
      </c>
    </row>
    <row r="9" spans="1:68" x14ac:dyDescent="0.35">
      <c r="A9" t="s">
        <v>35</v>
      </c>
      <c r="B9" s="22">
        <v>241</v>
      </c>
      <c r="C9" s="23">
        <v>314</v>
      </c>
      <c r="D9" s="23">
        <v>423</v>
      </c>
      <c r="E9" s="23">
        <v>415</v>
      </c>
      <c r="F9" s="24">
        <v>468</v>
      </c>
      <c r="H9" s="25" t="str">
        <f t="shared" si="0"/>
        <v>Young</v>
      </c>
      <c r="I9" s="14">
        <f t="shared" si="2"/>
        <v>73</v>
      </c>
      <c r="J9">
        <f t="shared" si="2"/>
        <v>109</v>
      </c>
      <c r="K9">
        <f t="shared" si="2"/>
        <v>-8</v>
      </c>
      <c r="L9" s="15">
        <f t="shared" si="2"/>
        <v>53</v>
      </c>
      <c r="N9" s="29" t="s">
        <v>53</v>
      </c>
      <c r="O9" s="29" t="e">
        <f ca="1">MANOVA_RoyRoot(H6:L26)</f>
        <v>#NAME?</v>
      </c>
      <c r="P9" s="29"/>
      <c r="Q9" s="29"/>
      <c r="R9" s="29"/>
      <c r="S9" s="29"/>
      <c r="T9" s="29"/>
      <c r="V9" s="16" t="e">
        <f ca="1"/>
        <v>#NAME?</v>
      </c>
      <c r="W9" s="17" t="e">
        <f ca="1"/>
        <v>#NAME?</v>
      </c>
      <c r="X9" s="17" t="e">
        <f ca="1"/>
        <v>#NAME?</v>
      </c>
      <c r="Y9" s="18" t="e">
        <f ca="1"/>
        <v>#NAME?</v>
      </c>
      <c r="AA9" s="16" t="e">
        <f ca="1"/>
        <v>#NAME?</v>
      </c>
      <c r="AB9" s="17" t="e">
        <f ca="1"/>
        <v>#NAME?</v>
      </c>
      <c r="AC9" s="17" t="e">
        <f ca="1"/>
        <v>#NAME?</v>
      </c>
      <c r="AD9" s="18" t="e">
        <f ca="1"/>
        <v>#NAME?</v>
      </c>
      <c r="AF9" t="e">
        <f t="array" aca="1" ref="AF9:AF11" ca="1">SortUnique(H6:H26)</f>
        <v>#NAME?</v>
      </c>
      <c r="AG9">
        <f ca="1">COUNTIF($H$6:$H$26,$AF9)</f>
        <v>0</v>
      </c>
      <c r="AH9">
        <f ca="1">SUMIF($H$6:$H$26,$AF9,$I$6:$I$26)</f>
        <v>0</v>
      </c>
      <c r="AI9" t="e">
        <f ca="1">AVERAGEIF($H$6:$H$26,$AF9,$I$6:$I$26)</f>
        <v>#DIV/0!</v>
      </c>
      <c r="AJ9" t="e">
        <f t="array" aca="1" ref="AJ9" ca="1">VAR(IF($H$6:$H$26=$AF9,$I$6:$I$26))</f>
        <v>#NAME?</v>
      </c>
      <c r="AK9" t="e">
        <f ca="1">($AG9-1)*AJ9</f>
        <v>#NAME?</v>
      </c>
      <c r="AL9" t="e">
        <f ca="1">SQRT(AI$16/AG9)</f>
        <v>#NAME?</v>
      </c>
      <c r="AM9" t="e">
        <f ca="1">AI9-AL9*TINV(AL$7,AG9-1)</f>
        <v>#DIV/0!</v>
      </c>
      <c r="AN9" t="e">
        <f ca="1">AI9+AL9*TINV(AL$7,AG9-1)</f>
        <v>#DIV/0!</v>
      </c>
      <c r="AP9" s="14" t="e">
        <f t="array" aca="1" ref="AP9" ca="1">MMULT(I9:L9-$AS$18:$AV$18,MMULT($AS$12:$AV$15,TRANSPOSE(I9:L9-$AS$18:$AV$18)))</f>
        <v>#NAME?</v>
      </c>
      <c r="AQ9" s="15" t="e">
        <f t="shared" ca="1" si="3"/>
        <v>#NAME?</v>
      </c>
      <c r="AR9" s="19" t="e">
        <f t="shared" ca="1" si="4"/>
        <v>#NAME?</v>
      </c>
      <c r="AS9" s="16" t="e">
        <f ca="1"/>
        <v>#NAME?</v>
      </c>
      <c r="AT9" s="17" t="e">
        <f ca="1"/>
        <v>#NAME?</v>
      </c>
      <c r="AU9" s="17" t="e">
        <f ca="1"/>
        <v>#NAME?</v>
      </c>
      <c r="AV9" s="18" t="e">
        <f ca="1"/>
        <v>#NAME?</v>
      </c>
      <c r="AX9" t="s">
        <v>23</v>
      </c>
      <c r="AY9" s="27" t="e">
        <f ca="1">BOXTEST(H6:L26)</f>
        <v>#NAME?</v>
      </c>
      <c r="BA9" t="s">
        <v>54</v>
      </c>
      <c r="BB9" s="30">
        <f>AVERAGE(I$6:I$26)</f>
        <v>97</v>
      </c>
      <c r="BC9" s="31">
        <f>AVERAGE(J$6:J$26)</f>
        <v>150.71428571428572</v>
      </c>
      <c r="BD9" s="31">
        <f>AVERAGE(K$6:K$26)</f>
        <v>-17.142857142857142</v>
      </c>
      <c r="BE9" s="32">
        <f>AVERAGE(L$6:L$26)</f>
        <v>11.047619047619047</v>
      </c>
      <c r="BF9" s="33">
        <f>SUM(BF6:BF8)</f>
        <v>21</v>
      </c>
      <c r="BJ9" s="16">
        <v>-13505.142857142857</v>
      </c>
      <c r="BK9" s="17">
        <v>10518.857142857141</v>
      </c>
      <c r="BL9" s="17">
        <v>-6329.1428571428569</v>
      </c>
      <c r="BM9" s="18">
        <v>6953.1428571428569</v>
      </c>
      <c r="BO9" t="s">
        <v>21</v>
      </c>
      <c r="BP9" s="20">
        <f>BP7</f>
        <v>4</v>
      </c>
    </row>
    <row r="10" spans="1:68" x14ac:dyDescent="0.35">
      <c r="A10" t="s">
        <v>35</v>
      </c>
      <c r="B10" s="22">
        <v>154</v>
      </c>
      <c r="C10" s="23">
        <v>167</v>
      </c>
      <c r="D10" s="23">
        <v>257</v>
      </c>
      <c r="E10" s="23">
        <v>275</v>
      </c>
      <c r="F10" s="24">
        <v>332</v>
      </c>
      <c r="H10" s="25" t="str">
        <f t="shared" si="0"/>
        <v>Young</v>
      </c>
      <c r="I10" s="14">
        <f t="shared" si="2"/>
        <v>13</v>
      </c>
      <c r="J10">
        <f t="shared" si="2"/>
        <v>90</v>
      </c>
      <c r="K10">
        <f t="shared" si="2"/>
        <v>18</v>
      </c>
      <c r="L10" s="15">
        <f t="shared" si="2"/>
        <v>57</v>
      </c>
      <c r="AF10" t="e">
        <f ca="1"/>
        <v>#NAME?</v>
      </c>
      <c r="AG10">
        <f ca="1">COUNTIF($H$6:$H$26,$AF10)</f>
        <v>0</v>
      </c>
      <c r="AH10">
        <f ca="1">SUMIF($H$6:$H$26,$AF10,$I$6:$I$26)</f>
        <v>0</v>
      </c>
      <c r="AI10" t="e">
        <f ca="1">AVERAGEIF($H$6:$H$26,$AF10,$I$6:$I$26)</f>
        <v>#DIV/0!</v>
      </c>
      <c r="AJ10" t="e">
        <f t="array" aca="1" ref="AJ10" ca="1">VAR(IF($H$6:$H$26=$AF10,$I$6:$I$26))</f>
        <v>#NAME?</v>
      </c>
      <c r="AK10" t="e">
        <f ca="1">($AG10-1)*AJ10</f>
        <v>#NAME?</v>
      </c>
      <c r="AL10" t="e">
        <f ca="1">SQRT(AI$16/AG10)</f>
        <v>#NAME?</v>
      </c>
      <c r="AM10" t="e">
        <f ca="1">AI10-AL10*TINV(AL$7,AG10-1)</f>
        <v>#DIV/0!</v>
      </c>
      <c r="AN10" t="e">
        <f ca="1">AI10+AL10*TINV(AL$7,AG10-1)</f>
        <v>#DIV/0!</v>
      </c>
      <c r="AP10" s="14" t="e">
        <f t="array" aca="1" ref="AP10" ca="1">MMULT(I10:L10-$AS$18:$AV$18,MMULT($AS$12:$AV$15,TRANSPOSE(I10:L10-$AS$18:$AV$18)))</f>
        <v>#NAME?</v>
      </c>
      <c r="AQ10" s="15" t="e">
        <f t="shared" ca="1" si="3"/>
        <v>#NAME?</v>
      </c>
      <c r="AR10" s="19" t="e">
        <f t="shared" ca="1" si="4"/>
        <v>#NAME?</v>
      </c>
      <c r="BO10" t="s">
        <v>22</v>
      </c>
      <c r="BP10" s="20">
        <f>BP6-BP7-BP8+1</f>
        <v>15</v>
      </c>
    </row>
    <row r="11" spans="1:68" x14ac:dyDescent="0.35">
      <c r="A11" t="s">
        <v>35</v>
      </c>
      <c r="B11" s="22">
        <v>103</v>
      </c>
      <c r="C11" s="23">
        <v>286</v>
      </c>
      <c r="D11" s="23">
        <v>401</v>
      </c>
      <c r="E11" s="23">
        <v>291</v>
      </c>
      <c r="F11" s="24">
        <v>367</v>
      </c>
      <c r="H11" s="25" t="str">
        <f t="shared" si="0"/>
        <v>Young</v>
      </c>
      <c r="I11" s="14">
        <f t="shared" si="2"/>
        <v>183</v>
      </c>
      <c r="J11">
        <f t="shared" si="2"/>
        <v>115</v>
      </c>
      <c r="K11">
        <f t="shared" si="2"/>
        <v>-110</v>
      </c>
      <c r="L11" s="15">
        <f t="shared" si="2"/>
        <v>76</v>
      </c>
      <c r="V11" t="s">
        <v>55</v>
      </c>
      <c r="AA11" t="s">
        <v>41</v>
      </c>
      <c r="AF11" t="e">
        <f ca="1"/>
        <v>#NAME?</v>
      </c>
      <c r="AG11">
        <f ca="1">COUNTIF($H$6:$H$26,$AF11)</f>
        <v>0</v>
      </c>
      <c r="AH11">
        <f ca="1">SUMIF($H$6:$H$26,$AF11,$I$6:$I$26)</f>
        <v>0</v>
      </c>
      <c r="AI11" t="e">
        <f ca="1">AVERAGEIF($H$6:$H$26,$AF11,$I$6:$I$26)</f>
        <v>#DIV/0!</v>
      </c>
      <c r="AJ11" t="e">
        <f t="array" aca="1" ref="AJ11" ca="1">VAR(IF($H$6:$H$26=$AF11,$I$6:$I$26))</f>
        <v>#NAME?</v>
      </c>
      <c r="AK11" t="e">
        <f ca="1">($AG11-1)*AJ11</f>
        <v>#NAME?</v>
      </c>
      <c r="AL11" t="e">
        <f ca="1">SQRT(AI$16/AG11)</f>
        <v>#NAME?</v>
      </c>
      <c r="AM11" t="e">
        <f ca="1">AI11-AL11*TINV(AL$7,AG11-1)</f>
        <v>#DIV/0!</v>
      </c>
      <c r="AN11" t="e">
        <f ca="1">AI11+AL11*TINV(AL$7,AG11-1)</f>
        <v>#DIV/0!</v>
      </c>
      <c r="AP11" s="14" t="e">
        <f t="array" aca="1" ref="AP11" ca="1">MMULT(I11:L11-$AS$18:$AV$18,MMULT($AS$12:$AV$15,TRANSPOSE(I11:L11-$AS$18:$AV$18)))</f>
        <v>#NAME?</v>
      </c>
      <c r="AQ11" s="15" t="e">
        <f t="shared" ca="1" si="3"/>
        <v>#NAME?</v>
      </c>
      <c r="AR11" s="19" t="e">
        <f t="shared" ca="1" si="4"/>
        <v>#NAME?</v>
      </c>
      <c r="AS11" t="s">
        <v>56</v>
      </c>
      <c r="BA11" t="s">
        <v>57</v>
      </c>
      <c r="BF11" s="33">
        <f>SUMPRODUCT(BH6:BH8^2/BF6:BF8)</f>
        <v>0.2857142857142857</v>
      </c>
      <c r="BJ11" t="s">
        <v>58</v>
      </c>
      <c r="BO11" t="s">
        <v>20</v>
      </c>
      <c r="BP11" s="20" t="e">
        <f ca="1">(1-BP5)/BP5*(BP10/BP9)</f>
        <v>#NAME?</v>
      </c>
    </row>
    <row r="12" spans="1:68" x14ac:dyDescent="0.35">
      <c r="A12" t="s">
        <v>35</v>
      </c>
      <c r="B12" s="34">
        <v>230</v>
      </c>
      <c r="C12" s="23">
        <v>306</v>
      </c>
      <c r="D12" s="35">
        <v>432</v>
      </c>
      <c r="E12" s="35">
        <v>386</v>
      </c>
      <c r="F12" s="36">
        <v>423</v>
      </c>
      <c r="H12" s="25" t="str">
        <f t="shared" si="0"/>
        <v>Young</v>
      </c>
      <c r="I12" s="14">
        <f t="shared" si="2"/>
        <v>76</v>
      </c>
      <c r="J12">
        <f t="shared" si="2"/>
        <v>126</v>
      </c>
      <c r="K12">
        <f t="shared" si="2"/>
        <v>-46</v>
      </c>
      <c r="L12" s="15">
        <f t="shared" si="2"/>
        <v>37</v>
      </c>
      <c r="V12" s="11" t="e">
        <f t="array" aca="1" ref="V12:Y15" ca="1">V6:Y9-V18:Y21</f>
        <v>#NAME?</v>
      </c>
      <c r="W12" s="12" t="e">
        <f ca="1"/>
        <v>#NAME?</v>
      </c>
      <c r="X12" s="12" t="e">
        <f ca="1"/>
        <v>#NAME?</v>
      </c>
      <c r="Y12" s="13" t="e">
        <f ca="1"/>
        <v>#NAME?</v>
      </c>
      <c r="AA12" s="11" t="e">
        <f t="array" aca="1" ref="AA12:AD15" ca="1">ExtractCov(H6:L26,AA11)</f>
        <v>#NAME?</v>
      </c>
      <c r="AB12" s="12" t="e">
        <f ca="1"/>
        <v>#NAME?</v>
      </c>
      <c r="AC12" s="12" t="e">
        <f ca="1"/>
        <v>#NAME?</v>
      </c>
      <c r="AD12" s="13" t="e">
        <f ca="1"/>
        <v>#NAME?</v>
      </c>
      <c r="AF12" s="37"/>
      <c r="AG12" s="37"/>
      <c r="AH12" s="37"/>
      <c r="AI12" s="37"/>
      <c r="AJ12" s="37"/>
      <c r="AK12" s="37"/>
      <c r="AL12" s="37"/>
      <c r="AM12" s="37"/>
      <c r="AN12" s="37"/>
      <c r="AP12" s="14" t="e">
        <f t="array" aca="1" ref="AP12" ca="1">MMULT(I12:L12-$AS$18:$AV$18,MMULT($AS$12:$AV$15,TRANSPOSE(I12:L12-$AS$18:$AV$18)))</f>
        <v>#NAME?</v>
      </c>
      <c r="AQ12" s="15" t="e">
        <f t="shared" ca="1" si="3"/>
        <v>#NAME?</v>
      </c>
      <c r="AR12" s="19" t="e">
        <f t="shared" ca="1" si="4"/>
        <v>#NAME?</v>
      </c>
      <c r="AS12" s="11" t="e">
        <f t="array" aca="1" ref="AS12:AV15" ca="1">MINVERSE(AS6:AV9)</f>
        <v>#NAME?</v>
      </c>
      <c r="AT12" s="12" t="e">
        <f ca="1"/>
        <v>#NAME?</v>
      </c>
      <c r="AU12" s="12" t="e">
        <f ca="1"/>
        <v>#NAME?</v>
      </c>
      <c r="AV12" s="13" t="e">
        <f ca="1"/>
        <v>#NAME?</v>
      </c>
      <c r="BA12" t="s">
        <v>59</v>
      </c>
      <c r="BB12" s="11">
        <f>SUMPRODUCT(BB6:BB8,$BH6:$BH8)</f>
        <v>-86.571428571428569</v>
      </c>
      <c r="BC12" s="12">
        <f>SUMPRODUCT(BC6:BC8,$BH6:$BH8)</f>
        <v>67.428571428571416</v>
      </c>
      <c r="BD12" s="12">
        <f>SUMPRODUCT(BD6:BD8,$BH6:$BH8)</f>
        <v>-40.571428571428569</v>
      </c>
      <c r="BE12" s="13">
        <f>SUMPRODUCT(BE6:BE8,$BH6:$BH8)</f>
        <v>44.571428571428569</v>
      </c>
      <c r="BJ12" s="11" t="e">
        <f t="array" aca="1" ref="BJ12:BM15" ca="1">$V$18:$Y$21</f>
        <v>#NAME?</v>
      </c>
      <c r="BK12" s="12" t="e">
        <f ca="1"/>
        <v>#NAME?</v>
      </c>
      <c r="BL12" s="12" t="e">
        <f ca="1"/>
        <v>#NAME?</v>
      </c>
      <c r="BM12" s="13" t="e">
        <f ca="1"/>
        <v>#NAME?</v>
      </c>
      <c r="BO12" t="s">
        <v>23</v>
      </c>
      <c r="BP12" s="20" t="e">
        <f ca="1">FDIST(BP11,BP9,BP10)</f>
        <v>#NAME?</v>
      </c>
    </row>
    <row r="13" spans="1:68" ht="15" thickBot="1" x14ac:dyDescent="0.4">
      <c r="A13" s="10" t="s">
        <v>26</v>
      </c>
      <c r="B13" s="7">
        <v>54</v>
      </c>
      <c r="C13" s="8">
        <v>172</v>
      </c>
      <c r="D13" s="8">
        <v>307</v>
      </c>
      <c r="E13" s="8">
        <v>261</v>
      </c>
      <c r="F13" s="9">
        <v>360</v>
      </c>
      <c r="H13" s="10" t="str">
        <f t="shared" si="0"/>
        <v>Middle</v>
      </c>
      <c r="I13" s="38">
        <f t="shared" si="2"/>
        <v>118</v>
      </c>
      <c r="J13" s="37">
        <f t="shared" si="2"/>
        <v>135</v>
      </c>
      <c r="K13" s="37">
        <f t="shared" si="2"/>
        <v>-46</v>
      </c>
      <c r="L13" s="39">
        <f t="shared" si="2"/>
        <v>99</v>
      </c>
      <c r="V13" s="14" t="e">
        <f ca="1"/>
        <v>#NAME?</v>
      </c>
      <c r="W13" t="e">
        <f ca="1"/>
        <v>#NAME?</v>
      </c>
      <c r="X13" t="e">
        <f ca="1"/>
        <v>#NAME?</v>
      </c>
      <c r="Y13" s="15" t="e">
        <f ca="1"/>
        <v>#NAME?</v>
      </c>
      <c r="AA13" s="14" t="e">
        <f ca="1"/>
        <v>#NAME?</v>
      </c>
      <c r="AB13" t="e">
        <f ca="1"/>
        <v>#NAME?</v>
      </c>
      <c r="AC13" t="e">
        <f ca="1"/>
        <v>#NAME?</v>
      </c>
      <c r="AD13" s="15" t="e">
        <f ca="1"/>
        <v>#NAME?</v>
      </c>
      <c r="AF13" t="s">
        <v>60</v>
      </c>
      <c r="AP13" s="14" t="e">
        <f t="array" aca="1" ref="AP13" ca="1">MMULT(I13:L13-$AS$18:$AV$18,MMULT($AS$12:$AV$15,TRANSPOSE(I13:L13-$AS$18:$AV$18)))</f>
        <v>#NAME?</v>
      </c>
      <c r="AQ13" s="15" t="e">
        <f t="shared" ca="1" si="3"/>
        <v>#NAME?</v>
      </c>
      <c r="AR13" s="19" t="e">
        <f t="shared" ca="1" si="4"/>
        <v>#NAME?</v>
      </c>
      <c r="AS13" s="14" t="e">
        <f ca="1"/>
        <v>#NAME?</v>
      </c>
      <c r="AT13" t="e">
        <f ca="1"/>
        <v>#NAME?</v>
      </c>
      <c r="AU13" t="e">
        <f ca="1"/>
        <v>#NAME?</v>
      </c>
      <c r="AV13" s="15" t="e">
        <f ca="1"/>
        <v>#NAME?</v>
      </c>
      <c r="BA13" t="s">
        <v>61</v>
      </c>
      <c r="BB13" s="16" t="e">
        <f t="array" aca="1" ref="BB13:BE13" ca="1">SQRT(DIAG(BJ12:BM15)*BF11/(BP6-BP8))</f>
        <v>#NAME?</v>
      </c>
      <c r="BC13" s="17" t="e">
        <f ca="1"/>
        <v>#NAME?</v>
      </c>
      <c r="BD13" s="17" t="e">
        <f ca="1"/>
        <v>#NAME?</v>
      </c>
      <c r="BE13" s="18" t="e">
        <f ca="1"/>
        <v>#NAME?</v>
      </c>
      <c r="BJ13" s="14" t="e">
        <f ca="1"/>
        <v>#NAME?</v>
      </c>
      <c r="BK13" t="e">
        <f ca="1"/>
        <v>#NAME?</v>
      </c>
      <c r="BL13" t="e">
        <f ca="1"/>
        <v>#NAME?</v>
      </c>
      <c r="BM13" s="15" t="e">
        <f ca="1"/>
        <v>#NAME?</v>
      </c>
      <c r="BO13" t="s">
        <v>62</v>
      </c>
      <c r="BP13" s="27" t="e">
        <f ca="1">(BP6-BP8)*(1-BP5)*BF11/BP5</f>
        <v>#NAME?</v>
      </c>
    </row>
    <row r="14" spans="1:68" ht="15" thickTop="1" x14ac:dyDescent="0.35">
      <c r="A14" s="25" t="s">
        <v>26</v>
      </c>
      <c r="B14" s="22">
        <v>20</v>
      </c>
      <c r="C14" s="23">
        <v>116</v>
      </c>
      <c r="D14" s="23">
        <v>425</v>
      </c>
      <c r="E14" s="23">
        <v>398</v>
      </c>
      <c r="F14" s="24">
        <v>268</v>
      </c>
      <c r="H14" s="25" t="str">
        <f t="shared" si="0"/>
        <v>Middle</v>
      </c>
      <c r="I14" s="40">
        <f t="shared" si="2"/>
        <v>96</v>
      </c>
      <c r="J14">
        <f t="shared" si="2"/>
        <v>309</v>
      </c>
      <c r="K14">
        <f t="shared" si="2"/>
        <v>-27</v>
      </c>
      <c r="L14" s="41">
        <f t="shared" si="2"/>
        <v>-130</v>
      </c>
      <c r="V14" s="14" t="e">
        <f ca="1"/>
        <v>#NAME?</v>
      </c>
      <c r="W14" t="e">
        <f ca="1"/>
        <v>#NAME?</v>
      </c>
      <c r="X14" t="e">
        <f ca="1"/>
        <v>#NAME?</v>
      </c>
      <c r="Y14" s="15" t="e">
        <f ca="1"/>
        <v>#NAME?</v>
      </c>
      <c r="AA14" s="14" t="e">
        <f ca="1"/>
        <v>#NAME?</v>
      </c>
      <c r="AB14" t="e">
        <f ca="1"/>
        <v>#NAME?</v>
      </c>
      <c r="AC14" t="e">
        <f ca="1"/>
        <v>#NAME?</v>
      </c>
      <c r="AD14" s="15" t="e">
        <f ca="1"/>
        <v>#NAME?</v>
      </c>
      <c r="AF14" s="5" t="s">
        <v>63</v>
      </c>
      <c r="AG14" s="5" t="s">
        <v>48</v>
      </c>
      <c r="AH14" s="5" t="s">
        <v>64</v>
      </c>
      <c r="AI14" s="5" t="s">
        <v>65</v>
      </c>
      <c r="AJ14" s="5" t="s">
        <v>20</v>
      </c>
      <c r="AK14" s="5" t="s">
        <v>66</v>
      </c>
      <c r="AL14" s="5" t="s">
        <v>67</v>
      </c>
      <c r="AM14" s="5" t="s">
        <v>68</v>
      </c>
      <c r="AN14" s="5" t="s">
        <v>69</v>
      </c>
      <c r="AP14" s="14" t="e">
        <f t="array" aca="1" ref="AP14" ca="1">MMULT(I14:L14-$AS$18:$AV$18,MMULT($AS$12:$AV$15,TRANSPOSE(I14:L14-$AS$18:$AV$18)))</f>
        <v>#NAME?</v>
      </c>
      <c r="AQ14" s="15" t="e">
        <f t="shared" ca="1" si="3"/>
        <v>#NAME?</v>
      </c>
      <c r="AR14" s="19" t="e">
        <f t="shared" ca="1" si="4"/>
        <v>#NAME?</v>
      </c>
      <c r="AS14" s="14" t="e">
        <f ca="1"/>
        <v>#NAME?</v>
      </c>
      <c r="AT14" t="e">
        <f ca="1"/>
        <v>#NAME?</v>
      </c>
      <c r="AU14" t="e">
        <f ca="1"/>
        <v>#NAME?</v>
      </c>
      <c r="AV14" s="15" t="e">
        <f ca="1"/>
        <v>#NAME?</v>
      </c>
      <c r="BJ14" s="14" t="e">
        <f ca="1"/>
        <v>#NAME?</v>
      </c>
      <c r="BK14" t="e">
        <f ca="1"/>
        <v>#NAME?</v>
      </c>
      <c r="BL14" t="e">
        <f ca="1"/>
        <v>#NAME?</v>
      </c>
      <c r="BM14" s="15" t="e">
        <f ca="1"/>
        <v>#NAME?</v>
      </c>
    </row>
    <row r="15" spans="1:68" x14ac:dyDescent="0.35">
      <c r="A15" s="25" t="s">
        <v>26</v>
      </c>
      <c r="B15" s="22">
        <v>41</v>
      </c>
      <c r="C15" s="23">
        <v>168</v>
      </c>
      <c r="D15" s="23">
        <v>378</v>
      </c>
      <c r="E15" s="23">
        <v>317</v>
      </c>
      <c r="F15" s="24">
        <v>470</v>
      </c>
      <c r="H15" s="25" t="str">
        <f t="shared" si="0"/>
        <v>Middle</v>
      </c>
      <c r="I15" s="40">
        <f t="shared" si="2"/>
        <v>127</v>
      </c>
      <c r="J15">
        <f t="shared" si="2"/>
        <v>210</v>
      </c>
      <c r="K15">
        <f t="shared" si="2"/>
        <v>-61</v>
      </c>
      <c r="L15" s="41">
        <f t="shared" si="2"/>
        <v>153</v>
      </c>
      <c r="V15" s="16" t="e">
        <f ca="1"/>
        <v>#NAME?</v>
      </c>
      <c r="W15" s="17" t="e">
        <f ca="1"/>
        <v>#NAME?</v>
      </c>
      <c r="X15" s="17" t="e">
        <f ca="1"/>
        <v>#NAME?</v>
      </c>
      <c r="Y15" s="18" t="e">
        <f ca="1"/>
        <v>#NAME?</v>
      </c>
      <c r="AA15" s="16" t="e">
        <f ca="1"/>
        <v>#NAME?</v>
      </c>
      <c r="AB15" s="17" t="e">
        <f ca="1"/>
        <v>#NAME?</v>
      </c>
      <c r="AC15" s="17" t="e">
        <f ca="1"/>
        <v>#NAME?</v>
      </c>
      <c r="AD15" s="18" t="e">
        <f ca="1"/>
        <v>#NAME?</v>
      </c>
      <c r="AF15" t="s">
        <v>70</v>
      </c>
      <c r="AG15" t="e">
        <f ca="1">AG17-AG16</f>
        <v>#NAME?</v>
      </c>
      <c r="AH15" t="e">
        <f ca="1">COUNTAU(H6:H26)-1</f>
        <v>#NAME?</v>
      </c>
      <c r="AI15" t="e">
        <f ca="1">AG15/AH15</f>
        <v>#NAME?</v>
      </c>
      <c r="AJ15" t="e">
        <f ca="1">AI15/AI16</f>
        <v>#NAME?</v>
      </c>
      <c r="AK15" t="e">
        <f ca="1">FDIST(AJ15,AH15,AH16)</f>
        <v>#NAME?</v>
      </c>
      <c r="AL15" t="e">
        <f ca="1">FINV(AL7,AH15,AH16)</f>
        <v>#NAME?</v>
      </c>
      <c r="AM15" t="e">
        <f ca="1">SQRT(DEVSQ(AI9:AI11)/(AI16*AH15))</f>
        <v>#DIV/0!</v>
      </c>
      <c r="AN15" t="e">
        <f ca="1">(AG17-AH17*AI16)/(AG17+AI16)</f>
        <v>#NAME?</v>
      </c>
      <c r="AP15" s="14" t="e">
        <f t="array" aca="1" ref="AP15" ca="1">MMULT(I15:L15-$AS$18:$AV$18,MMULT($AS$12:$AV$15,TRANSPOSE(I15:L15-$AS$18:$AV$18)))</f>
        <v>#NAME?</v>
      </c>
      <c r="AQ15" s="15" t="e">
        <f t="shared" ca="1" si="3"/>
        <v>#NAME?</v>
      </c>
      <c r="AR15" s="19" t="e">
        <f t="shared" ca="1" si="4"/>
        <v>#NAME?</v>
      </c>
      <c r="AS15" s="16" t="e">
        <f ca="1"/>
        <v>#NAME?</v>
      </c>
      <c r="AT15" s="17" t="e">
        <f ca="1"/>
        <v>#NAME?</v>
      </c>
      <c r="AU15" s="17" t="e">
        <f ca="1"/>
        <v>#NAME?</v>
      </c>
      <c r="AV15" s="18" t="e">
        <f ca="1"/>
        <v>#NAME?</v>
      </c>
      <c r="BA15" t="s">
        <v>71</v>
      </c>
      <c r="BJ15" s="16" t="e">
        <f ca="1"/>
        <v>#NAME?</v>
      </c>
      <c r="BK15" s="17" t="e">
        <f ca="1"/>
        <v>#NAME?</v>
      </c>
      <c r="BL15" s="17" t="e">
        <f ca="1"/>
        <v>#NAME?</v>
      </c>
      <c r="BM15" s="18" t="e">
        <f ca="1"/>
        <v>#NAME?</v>
      </c>
    </row>
    <row r="16" spans="1:68" x14ac:dyDescent="0.35">
      <c r="A16" s="25" t="s">
        <v>26</v>
      </c>
      <c r="B16" s="22">
        <v>200</v>
      </c>
      <c r="C16" s="23">
        <v>157</v>
      </c>
      <c r="D16" s="23">
        <v>283</v>
      </c>
      <c r="E16" s="23">
        <v>259</v>
      </c>
      <c r="F16" s="24">
        <v>273</v>
      </c>
      <c r="H16" s="25" t="str">
        <f t="shared" si="0"/>
        <v>Middle</v>
      </c>
      <c r="I16" s="40">
        <f t="shared" si="2"/>
        <v>-43</v>
      </c>
      <c r="J16">
        <f t="shared" si="2"/>
        <v>126</v>
      </c>
      <c r="K16">
        <f t="shared" si="2"/>
        <v>-24</v>
      </c>
      <c r="L16" s="41">
        <f t="shared" si="2"/>
        <v>14</v>
      </c>
      <c r="AF16" t="s">
        <v>72</v>
      </c>
      <c r="AG16" t="e">
        <f ca="1">SUM(AK9:AK11)</f>
        <v>#NAME?</v>
      </c>
      <c r="AH16" t="e">
        <f ca="1">AH17-AH15</f>
        <v>#NAME?</v>
      </c>
      <c r="AI16" t="e">
        <f ca="1">AG16/AH16</f>
        <v>#NAME?</v>
      </c>
      <c r="AP16" s="14" t="e">
        <f t="array" aca="1" ref="AP16" ca="1">MMULT(I16:L16-$AS$18:$AV$18,MMULT($AS$12:$AV$15,TRANSPOSE(I16:L16-$AS$18:$AV$18)))</f>
        <v>#NAME?</v>
      </c>
      <c r="AQ16" s="15" t="e">
        <f t="shared" ca="1" si="3"/>
        <v>#NAME?</v>
      </c>
      <c r="AR16" s="19" t="e">
        <f t="shared" ca="1" si="4"/>
        <v>#NAME?</v>
      </c>
      <c r="BG16" t="s">
        <v>40</v>
      </c>
      <c r="BH16" s="6">
        <v>0.05</v>
      </c>
    </row>
    <row r="17" spans="1:60" x14ac:dyDescent="0.35">
      <c r="A17" s="25" t="s">
        <v>26</v>
      </c>
      <c r="B17" s="22">
        <v>34</v>
      </c>
      <c r="C17" s="23">
        <v>86</v>
      </c>
      <c r="D17" s="23">
        <v>351</v>
      </c>
      <c r="E17" s="23">
        <v>280</v>
      </c>
      <c r="F17" s="24">
        <v>320</v>
      </c>
      <c r="H17" s="25" t="str">
        <f t="shared" si="0"/>
        <v>Middle</v>
      </c>
      <c r="I17" s="40">
        <f t="shared" si="2"/>
        <v>52</v>
      </c>
      <c r="J17">
        <f t="shared" si="2"/>
        <v>265</v>
      </c>
      <c r="K17">
        <f t="shared" si="2"/>
        <v>-71</v>
      </c>
      <c r="L17" s="41">
        <f t="shared" si="2"/>
        <v>40</v>
      </c>
      <c r="V17" t="s">
        <v>58</v>
      </c>
      <c r="AA17" t="s">
        <v>35</v>
      </c>
      <c r="AF17" s="29" t="s">
        <v>54</v>
      </c>
      <c r="AG17" s="29">
        <f>DEVSQ(I6:I26)</f>
        <v>107416</v>
      </c>
      <c r="AH17" s="29">
        <f>COUNT(I6:I26)-1</f>
        <v>20</v>
      </c>
      <c r="AI17" s="29">
        <f>AG17/AH17</f>
        <v>5370.8</v>
      </c>
      <c r="AJ17" s="29"/>
      <c r="AK17" s="29"/>
      <c r="AL17" s="29"/>
      <c r="AM17" s="29"/>
      <c r="AN17" s="29"/>
      <c r="AP17" s="14" t="e">
        <f t="array" aca="1" ref="AP17" ca="1">MMULT(I17:L17-$AS$18:$AV$18,MMULT($AS$12:$AV$15,TRANSPOSE(I17:L17-$AS$18:$AV$18)))</f>
        <v>#NAME?</v>
      </c>
      <c r="AQ17" s="15" t="e">
        <f t="shared" ca="1" si="3"/>
        <v>#NAME?</v>
      </c>
      <c r="AR17" s="19" t="e">
        <f t="shared" ca="1" si="4"/>
        <v>#NAME?</v>
      </c>
      <c r="AS17" t="s">
        <v>73</v>
      </c>
      <c r="BA17" t="s">
        <v>74</v>
      </c>
      <c r="BB17" s="11" t="e">
        <f ca="1">BB12-BB13*$BH18</f>
        <v>#NAME?</v>
      </c>
      <c r="BC17" s="12" t="e">
        <f ca="1">BC12-BC13*$BH18</f>
        <v>#NAME?</v>
      </c>
      <c r="BD17" s="12" t="e">
        <f ca="1">BD12-BD13*$BH18</f>
        <v>#NAME?</v>
      </c>
      <c r="BE17" s="13" t="e">
        <f ca="1">BE12-BE13*$BH18</f>
        <v>#NAME?</v>
      </c>
      <c r="BG17" t="s">
        <v>75</v>
      </c>
      <c r="BH17" s="20">
        <f>FINV(BH16,BP9,BP10)</f>
        <v>3.055568275906595</v>
      </c>
    </row>
    <row r="18" spans="1:60" x14ac:dyDescent="0.35">
      <c r="A18" s="25" t="s">
        <v>26</v>
      </c>
      <c r="B18" s="22">
        <v>29</v>
      </c>
      <c r="C18" s="23">
        <v>81</v>
      </c>
      <c r="D18" s="23">
        <v>193</v>
      </c>
      <c r="E18" s="23">
        <v>240</v>
      </c>
      <c r="F18" s="24">
        <v>233</v>
      </c>
      <c r="H18" s="25" t="str">
        <f t="shared" si="0"/>
        <v>Middle</v>
      </c>
      <c r="I18" s="40">
        <f t="shared" si="2"/>
        <v>52</v>
      </c>
      <c r="J18">
        <f t="shared" si="2"/>
        <v>112</v>
      </c>
      <c r="K18">
        <f t="shared" si="2"/>
        <v>47</v>
      </c>
      <c r="L18" s="41">
        <f t="shared" si="2"/>
        <v>-7</v>
      </c>
      <c r="V18" s="11" t="e">
        <f t="array" aca="1" ref="V18:Y21" ca="1">COVPooled(H6:L26)*(COUNT(I6:I26)-COUNTAU(H6:H26))</f>
        <v>#NAME?</v>
      </c>
      <c r="W18" s="12" t="e">
        <f ca="1"/>
        <v>#NAME?</v>
      </c>
      <c r="X18" s="12" t="e">
        <f ca="1"/>
        <v>#NAME?</v>
      </c>
      <c r="Y18" s="13" t="e">
        <f ca="1"/>
        <v>#NAME?</v>
      </c>
      <c r="AA18" s="11" t="e">
        <f t="array" aca="1" ref="AA18:AD21" ca="1">ExtractCov(H6:L26,AA17)</f>
        <v>#NAME?</v>
      </c>
      <c r="AB18" s="12" t="e">
        <f ca="1"/>
        <v>#NAME?</v>
      </c>
      <c r="AC18" s="12" t="e">
        <f ca="1"/>
        <v>#NAME?</v>
      </c>
      <c r="AD18" s="13" t="e">
        <f ca="1"/>
        <v>#NAME?</v>
      </c>
      <c r="AP18" s="14" t="e">
        <f t="array" aca="1" ref="AP18" ca="1">MMULT(I18:L18-$AS$18:$AV$18,MMULT($AS$12:$AV$15,TRANSPOSE(I18:L18-$AS$18:$AV$18)))</f>
        <v>#NAME?</v>
      </c>
      <c r="AQ18" s="15" t="e">
        <f t="shared" ca="1" si="3"/>
        <v>#NAME?</v>
      </c>
      <c r="AR18" s="19" t="e">
        <f t="shared" ca="1" si="4"/>
        <v>#NAME?</v>
      </c>
      <c r="AS18" s="30">
        <f>AVERAGE(I6:I26)</f>
        <v>97</v>
      </c>
      <c r="AT18" s="31">
        <f>AVERAGE(J6:J26)</f>
        <v>150.71428571428572</v>
      </c>
      <c r="AU18" s="31">
        <f>AVERAGE(K6:K26)</f>
        <v>-17.142857142857142</v>
      </c>
      <c r="AV18" s="32">
        <f>AVERAGE(L6:L26)</f>
        <v>11.047619047619047</v>
      </c>
      <c r="BA18" t="s">
        <v>76</v>
      </c>
      <c r="BB18" s="16" t="e">
        <f ca="1">BB12+BB13*$BH18</f>
        <v>#NAME?</v>
      </c>
      <c r="BC18" s="17" t="e">
        <f ca="1">BC12+BC13*$BH18</f>
        <v>#NAME?</v>
      </c>
      <c r="BD18" s="17" t="e">
        <f ca="1">BD12+BD13*$BH18</f>
        <v>#NAME?</v>
      </c>
      <c r="BE18" s="18" t="e">
        <f ca="1">BE12+BE13*$BH18</f>
        <v>#NAME?</v>
      </c>
      <c r="BG18" t="s">
        <v>30</v>
      </c>
      <c r="BH18" s="27">
        <f>SQRT(BP9*(BP6-BP8)*BH17/BP10)</f>
        <v>3.8297164026010666</v>
      </c>
    </row>
    <row r="19" spans="1:60" x14ac:dyDescent="0.35">
      <c r="A19" s="42" t="s">
        <v>26</v>
      </c>
      <c r="B19" s="34">
        <v>3</v>
      </c>
      <c r="C19" s="35">
        <v>54</v>
      </c>
      <c r="D19" s="35">
        <v>285</v>
      </c>
      <c r="E19" s="35">
        <v>216</v>
      </c>
      <c r="F19" s="36">
        <v>245</v>
      </c>
      <c r="H19" s="42" t="str">
        <f t="shared" si="0"/>
        <v>Middle</v>
      </c>
      <c r="I19" s="43">
        <f t="shared" si="2"/>
        <v>51</v>
      </c>
      <c r="J19" s="29">
        <f t="shared" si="2"/>
        <v>231</v>
      </c>
      <c r="K19" s="29">
        <f t="shared" si="2"/>
        <v>-69</v>
      </c>
      <c r="L19" s="44">
        <f t="shared" si="2"/>
        <v>29</v>
      </c>
      <c r="V19" s="14" t="e">
        <f ca="1"/>
        <v>#NAME?</v>
      </c>
      <c r="W19" t="e">
        <f ca="1"/>
        <v>#NAME?</v>
      </c>
      <c r="X19" t="e">
        <f ca="1"/>
        <v>#NAME?</v>
      </c>
      <c r="Y19" s="15" t="e">
        <f ca="1"/>
        <v>#NAME?</v>
      </c>
      <c r="AA19" s="14" t="e">
        <f ca="1"/>
        <v>#NAME?</v>
      </c>
      <c r="AB19" t="e">
        <f ca="1"/>
        <v>#NAME?</v>
      </c>
      <c r="AC19" t="e">
        <f ca="1"/>
        <v>#NAME?</v>
      </c>
      <c r="AD19" s="15" t="e">
        <f ca="1"/>
        <v>#NAME?</v>
      </c>
      <c r="AF19" t="s">
        <v>27</v>
      </c>
      <c r="AI19" t="str">
        <f>J5</f>
        <v>Diff  2</v>
      </c>
      <c r="AP19" s="14" t="e">
        <f t="array" aca="1" ref="AP19" ca="1">MMULT(I19:L19-$AS$18:$AV$18,MMULT($AS$12:$AV$15,TRANSPOSE(I19:L19-$AS$18:$AV$18)))</f>
        <v>#NAME?</v>
      </c>
      <c r="AQ19" s="15" t="e">
        <f t="shared" ca="1" si="3"/>
        <v>#NAME?</v>
      </c>
      <c r="AR19" s="19" t="e">
        <f t="shared" ca="1" si="4"/>
        <v>#NAME?</v>
      </c>
    </row>
    <row r="20" spans="1:60" x14ac:dyDescent="0.35">
      <c r="A20" s="10" t="s">
        <v>41</v>
      </c>
      <c r="B20" s="22">
        <v>118</v>
      </c>
      <c r="C20" s="23">
        <v>124</v>
      </c>
      <c r="D20" s="23">
        <v>365</v>
      </c>
      <c r="E20" s="23">
        <v>311</v>
      </c>
      <c r="F20" s="24">
        <v>331</v>
      </c>
      <c r="H20" s="25" t="str">
        <f t="shared" si="0"/>
        <v>Old</v>
      </c>
      <c r="I20" s="14">
        <f t="shared" si="2"/>
        <v>6</v>
      </c>
      <c r="J20">
        <f t="shared" si="2"/>
        <v>241</v>
      </c>
      <c r="K20">
        <f t="shared" si="2"/>
        <v>-54</v>
      </c>
      <c r="L20" s="15">
        <f t="shared" si="2"/>
        <v>20</v>
      </c>
      <c r="V20" s="14" t="e">
        <f ca="1"/>
        <v>#NAME?</v>
      </c>
      <c r="W20" t="e">
        <f ca="1"/>
        <v>#NAME?</v>
      </c>
      <c r="X20" t="e">
        <f ca="1"/>
        <v>#NAME?</v>
      </c>
      <c r="Y20" s="15" t="e">
        <f ca="1"/>
        <v>#NAME?</v>
      </c>
      <c r="AA20" s="14" t="e">
        <f ca="1"/>
        <v>#NAME?</v>
      </c>
      <c r="AB20" t="e">
        <f ca="1"/>
        <v>#NAME?</v>
      </c>
      <c r="AC20" t="e">
        <f ca="1"/>
        <v>#NAME?</v>
      </c>
      <c r="AD20" s="15" t="e">
        <f ca="1"/>
        <v>#NAME?</v>
      </c>
      <c r="AP20" s="14" t="e">
        <f t="array" aca="1" ref="AP20" ca="1">MMULT(I20:L20-$AS$18:$AV$18,MMULT($AS$12:$AV$15,TRANSPOSE(I20:L20-$AS$18:$AV$18)))</f>
        <v>#NAME?</v>
      </c>
      <c r="AQ20" s="15" t="e">
        <f t="shared" ca="1" si="3"/>
        <v>#NAME?</v>
      </c>
      <c r="AR20" s="19" t="e">
        <f t="shared" ca="1" si="4"/>
        <v>#NAME?</v>
      </c>
      <c r="BA20" t="s">
        <v>77</v>
      </c>
    </row>
    <row r="21" spans="1:60" ht="15" thickBot="1" x14ac:dyDescent="0.4">
      <c r="A21" s="25" t="s">
        <v>41</v>
      </c>
      <c r="B21" s="22">
        <v>83</v>
      </c>
      <c r="C21" s="23">
        <v>266</v>
      </c>
      <c r="D21" s="23">
        <v>382</v>
      </c>
      <c r="E21" s="23">
        <v>369</v>
      </c>
      <c r="F21" s="24">
        <v>295</v>
      </c>
      <c r="H21" s="25" t="str">
        <f t="shared" si="0"/>
        <v>Old</v>
      </c>
      <c r="I21" s="14">
        <f t="shared" si="2"/>
        <v>183</v>
      </c>
      <c r="J21">
        <f t="shared" si="2"/>
        <v>116</v>
      </c>
      <c r="K21">
        <f t="shared" si="2"/>
        <v>-13</v>
      </c>
      <c r="L21" s="15">
        <f t="shared" si="2"/>
        <v>-74</v>
      </c>
      <c r="V21" s="16" t="e">
        <f ca="1"/>
        <v>#NAME?</v>
      </c>
      <c r="W21" s="17" t="e">
        <f ca="1"/>
        <v>#NAME?</v>
      </c>
      <c r="X21" s="17" t="e">
        <f ca="1"/>
        <v>#NAME?</v>
      </c>
      <c r="Y21" s="18" t="e">
        <f ca="1"/>
        <v>#NAME?</v>
      </c>
      <c r="AA21" s="16" t="e">
        <f ca="1"/>
        <v>#NAME?</v>
      </c>
      <c r="AB21" s="17" t="e">
        <f ca="1"/>
        <v>#NAME?</v>
      </c>
      <c r="AC21" s="17" t="e">
        <f ca="1"/>
        <v>#NAME?</v>
      </c>
      <c r="AD21" s="18" t="e">
        <f ca="1"/>
        <v>#NAME?</v>
      </c>
      <c r="AF21" t="s">
        <v>39</v>
      </c>
      <c r="AK21" t="s">
        <v>40</v>
      </c>
      <c r="AL21">
        <v>1.2500000000000001E-2</v>
      </c>
      <c r="AP21" s="14" t="e">
        <f t="array" aca="1" ref="AP21" ca="1">MMULT(I21:L21-$AS$18:$AV$18,MMULT($AS$12:$AV$15,TRANSPOSE(I21:L21-$AS$18:$AV$18)))</f>
        <v>#NAME?</v>
      </c>
      <c r="AQ21" s="15" t="e">
        <f t="shared" ca="1" si="3"/>
        <v>#NAME?</v>
      </c>
      <c r="AR21" s="19" t="e">
        <f t="shared" ca="1" si="4"/>
        <v>#NAME?</v>
      </c>
      <c r="BG21" t="s">
        <v>40</v>
      </c>
      <c r="BH21" s="6">
        <f>BH16/BP7</f>
        <v>1.2500000000000001E-2</v>
      </c>
    </row>
    <row r="22" spans="1:60" ht="15" thickTop="1" x14ac:dyDescent="0.35">
      <c r="A22" s="25" t="s">
        <v>41</v>
      </c>
      <c r="B22" s="22">
        <v>38</v>
      </c>
      <c r="C22" s="23">
        <v>207</v>
      </c>
      <c r="D22" s="23">
        <v>289</v>
      </c>
      <c r="E22" s="23">
        <v>385</v>
      </c>
      <c r="F22" s="24">
        <v>373</v>
      </c>
      <c r="H22" s="25" t="str">
        <f t="shared" si="0"/>
        <v>Old</v>
      </c>
      <c r="I22" s="14">
        <f t="shared" si="2"/>
        <v>169</v>
      </c>
      <c r="J22">
        <f t="shared" si="2"/>
        <v>82</v>
      </c>
      <c r="K22">
        <f t="shared" si="2"/>
        <v>96</v>
      </c>
      <c r="L22" s="15">
        <f t="shared" si="2"/>
        <v>-12</v>
      </c>
      <c r="AF22" s="5" t="s">
        <v>44</v>
      </c>
      <c r="AG22" s="5" t="s">
        <v>31</v>
      </c>
      <c r="AH22" s="5" t="s">
        <v>45</v>
      </c>
      <c r="AI22" s="5" t="s">
        <v>46</v>
      </c>
      <c r="AJ22" s="5" t="s">
        <v>47</v>
      </c>
      <c r="AK22" s="5" t="s">
        <v>48</v>
      </c>
      <c r="AL22" s="5" t="s">
        <v>49</v>
      </c>
      <c r="AM22" s="5" t="s">
        <v>50</v>
      </c>
      <c r="AN22" s="5" t="s">
        <v>51</v>
      </c>
      <c r="AP22" s="14" t="e">
        <f t="array" aca="1" ref="AP22" ca="1">MMULT(I22:L22-$AS$18:$AV$18,MMULT($AS$12:$AV$15,TRANSPOSE(I22:L22-$AS$18:$AV$18)))</f>
        <v>#NAME?</v>
      </c>
      <c r="AQ22" s="15" t="e">
        <f t="shared" ca="1" si="3"/>
        <v>#NAME?</v>
      </c>
      <c r="AR22" s="19" t="e">
        <f t="shared" ca="1" si="4"/>
        <v>#NAME?</v>
      </c>
      <c r="BA22" t="s">
        <v>74</v>
      </c>
      <c r="BB22" s="11" t="e">
        <f ca="1">BB12-BB13*$BH23</f>
        <v>#NAME?</v>
      </c>
      <c r="BC22" s="12" t="e">
        <f ca="1">BC12-BC13*$BH23</f>
        <v>#NAME?</v>
      </c>
      <c r="BD22" s="12" t="e">
        <f ca="1">BD12-BD13*$BH23</f>
        <v>#NAME?</v>
      </c>
      <c r="BE22" s="13" t="e">
        <f ca="1">BE12-BE13*$BH23</f>
        <v>#NAME?</v>
      </c>
      <c r="BG22" t="s">
        <v>64</v>
      </c>
      <c r="BH22" s="20">
        <f>BP6-BP8</f>
        <v>18</v>
      </c>
    </row>
    <row r="23" spans="1:60" x14ac:dyDescent="0.35">
      <c r="A23" s="25" t="s">
        <v>41</v>
      </c>
      <c r="B23" s="22">
        <v>71</v>
      </c>
      <c r="C23" s="23">
        <v>211</v>
      </c>
      <c r="D23" s="23">
        <v>356</v>
      </c>
      <c r="E23" s="23">
        <v>380</v>
      </c>
      <c r="F23" s="24">
        <v>305</v>
      </c>
      <c r="H23" s="25" t="str">
        <f t="shared" si="0"/>
        <v>Old</v>
      </c>
      <c r="I23" s="14">
        <f t="shared" si="2"/>
        <v>140</v>
      </c>
      <c r="J23">
        <f t="shared" si="2"/>
        <v>145</v>
      </c>
      <c r="K23">
        <f t="shared" si="2"/>
        <v>24</v>
      </c>
      <c r="L23" s="15">
        <f t="shared" si="2"/>
        <v>-75</v>
      </c>
      <c r="AA23" t="s">
        <v>78</v>
      </c>
      <c r="AF23" t="e">
        <f t="array" aca="1" ref="AF23:AF25" ca="1">SortUnique(H6:H26)</f>
        <v>#NAME?</v>
      </c>
      <c r="AG23">
        <f ca="1">COUNTIF($H$6:$H$26,$AF23)</f>
        <v>0</v>
      </c>
      <c r="AH23">
        <f ca="1">SUMIF($H$6:$H$26,$AF23,$J$6:$J$26)</f>
        <v>0</v>
      </c>
      <c r="AI23" t="e">
        <f ca="1">AVERAGEIF($H$6:$H$26,$AF23,$J$6:$J$26)</f>
        <v>#DIV/0!</v>
      </c>
      <c r="AJ23" t="e">
        <f t="array" aca="1" ref="AJ23" ca="1">VAR(IF($H$6:$H$26=$AF23,$J$6:$J$26))</f>
        <v>#NAME?</v>
      </c>
      <c r="AK23" t="e">
        <f ca="1">($AG23-1)*AJ23</f>
        <v>#NAME?</v>
      </c>
      <c r="AL23" t="e">
        <f ca="1">SQRT(AI$30/AG23)</f>
        <v>#NAME?</v>
      </c>
      <c r="AM23" t="e">
        <f ca="1">AI23-AL23*TINV(AL$21,AG23-1)</f>
        <v>#DIV/0!</v>
      </c>
      <c r="AN23" t="e">
        <f ca="1">AI23+AL23*TINV(AL$21,AG23-1)</f>
        <v>#DIV/0!</v>
      </c>
      <c r="AP23" s="14" t="e">
        <f t="array" aca="1" ref="AP23" ca="1">MMULT(I23:L23-$AS$18:$AV$18,MMULT($AS$12:$AV$15,TRANSPOSE(I23:L23-$AS$18:$AV$18)))</f>
        <v>#NAME?</v>
      </c>
      <c r="AQ23" s="15" t="e">
        <f t="shared" ca="1" si="3"/>
        <v>#NAME?</v>
      </c>
      <c r="AR23" s="19" t="e">
        <f t="shared" ca="1" si="4"/>
        <v>#NAME?</v>
      </c>
      <c r="BA23" t="s">
        <v>76</v>
      </c>
      <c r="BB23" s="16" t="e">
        <f ca="1">BB12+BB13*$BH23</f>
        <v>#NAME?</v>
      </c>
      <c r="BC23" s="17" t="e">
        <f ca="1">BC12+BC13*$BH23</f>
        <v>#NAME?</v>
      </c>
      <c r="BD23" s="17" t="e">
        <f ca="1">BD12+BD13*$BH23</f>
        <v>#NAME?</v>
      </c>
      <c r="BE23" s="18" t="e">
        <f ca="1">BE12+BE13*$BH23</f>
        <v>#NAME?</v>
      </c>
      <c r="BG23" t="s">
        <v>79</v>
      </c>
      <c r="BH23" s="27">
        <f>TINV(BH21,BH22)</f>
        <v>2.7745287719336948</v>
      </c>
    </row>
    <row r="24" spans="1:60" x14ac:dyDescent="0.35">
      <c r="A24" s="25" t="s">
        <v>41</v>
      </c>
      <c r="B24" s="22">
        <v>123</v>
      </c>
      <c r="C24" s="23">
        <v>331</v>
      </c>
      <c r="D24" s="23">
        <v>407</v>
      </c>
      <c r="E24" s="23">
        <v>461</v>
      </c>
      <c r="F24" s="24">
        <v>445</v>
      </c>
      <c r="H24" s="25" t="str">
        <f t="shared" si="0"/>
        <v>Old</v>
      </c>
      <c r="I24" s="14">
        <f t="shared" si="2"/>
        <v>208</v>
      </c>
      <c r="J24">
        <f t="shared" si="2"/>
        <v>76</v>
      </c>
      <c r="K24">
        <f t="shared" si="2"/>
        <v>54</v>
      </c>
      <c r="L24" s="15">
        <f t="shared" si="2"/>
        <v>-16</v>
      </c>
      <c r="AA24" s="11" t="e">
        <f t="array" aca="1" ref="AA24:AD27" ca="1">COVPooled(H6:L26)</f>
        <v>#NAME?</v>
      </c>
      <c r="AB24" s="12" t="e">
        <f ca="1"/>
        <v>#NAME?</v>
      </c>
      <c r="AC24" s="12" t="e">
        <f ca="1"/>
        <v>#NAME?</v>
      </c>
      <c r="AD24" s="13" t="e">
        <f ca="1"/>
        <v>#NAME?</v>
      </c>
      <c r="AF24" t="e">
        <f ca="1"/>
        <v>#NAME?</v>
      </c>
      <c r="AG24">
        <f ca="1">COUNTIF($H$6:$H$26,$AF24)</f>
        <v>0</v>
      </c>
      <c r="AH24">
        <f ca="1">SUMIF($H$6:$H$26,$AF24,$J$6:$J$26)</f>
        <v>0</v>
      </c>
      <c r="AI24" t="e">
        <f ca="1">AVERAGEIF($H$6:$H$26,$AF24,$J$6:$J$26)</f>
        <v>#DIV/0!</v>
      </c>
      <c r="AJ24" t="e">
        <f t="array" aca="1" ref="AJ24" ca="1">VAR(IF($H$6:$H$26=$AF24,$J$6:$J$26))</f>
        <v>#NAME?</v>
      </c>
      <c r="AK24" t="e">
        <f ca="1">($AG24-1)*AJ24</f>
        <v>#NAME?</v>
      </c>
      <c r="AL24" t="e">
        <f ca="1">SQRT(AI$30/AG24)</f>
        <v>#NAME?</v>
      </c>
      <c r="AM24" t="e">
        <f ca="1">AI24-AL24*TINV(AL$21,AG24-1)</f>
        <v>#DIV/0!</v>
      </c>
      <c r="AN24" t="e">
        <f ca="1">AI24+AL24*TINV(AL$21,AG24-1)</f>
        <v>#DIV/0!</v>
      </c>
      <c r="AP24" s="14" t="e">
        <f t="array" aca="1" ref="AP24" ca="1">MMULT(I24:L24-$AS$18:$AV$18,MMULT($AS$12:$AV$15,TRANSPOSE(I24:L24-$AS$18:$AV$18)))</f>
        <v>#NAME?</v>
      </c>
      <c r="AQ24" s="15" t="e">
        <f t="shared" ca="1" si="3"/>
        <v>#NAME?</v>
      </c>
      <c r="AR24" s="19" t="e">
        <f t="shared" ca="1" si="4"/>
        <v>#NAME?</v>
      </c>
    </row>
    <row r="25" spans="1:60" x14ac:dyDescent="0.35">
      <c r="A25" s="25" t="s">
        <v>41</v>
      </c>
      <c r="B25" s="22">
        <v>71</v>
      </c>
      <c r="C25" s="23">
        <v>285</v>
      </c>
      <c r="D25" s="23">
        <v>471</v>
      </c>
      <c r="E25" s="23">
        <v>407</v>
      </c>
      <c r="F25" s="24">
        <v>433</v>
      </c>
      <c r="H25" s="25" t="str">
        <f t="shared" si="0"/>
        <v>Old</v>
      </c>
      <c r="I25" s="14">
        <f t="shared" si="2"/>
        <v>214</v>
      </c>
      <c r="J25">
        <f t="shared" si="2"/>
        <v>186</v>
      </c>
      <c r="K25">
        <f t="shared" si="2"/>
        <v>-64</v>
      </c>
      <c r="L25" s="15">
        <f t="shared" si="2"/>
        <v>26</v>
      </c>
      <c r="AA25" s="14" t="e">
        <f ca="1"/>
        <v>#NAME?</v>
      </c>
      <c r="AB25" t="e">
        <f ca="1"/>
        <v>#NAME?</v>
      </c>
      <c r="AC25" t="e">
        <f ca="1"/>
        <v>#NAME?</v>
      </c>
      <c r="AD25" s="15" t="e">
        <f ca="1"/>
        <v>#NAME?</v>
      </c>
      <c r="AF25" t="e">
        <f ca="1"/>
        <v>#NAME?</v>
      </c>
      <c r="AG25">
        <f ca="1">COUNTIF($H$6:$H$26,$AF25)</f>
        <v>0</v>
      </c>
      <c r="AH25">
        <f ca="1">SUMIF($H$6:$H$26,$AF25,$J$6:$J$26)</f>
        <v>0</v>
      </c>
      <c r="AI25" t="e">
        <f ca="1">AVERAGEIF($H$6:$H$26,$AF25,$J$6:$J$26)</f>
        <v>#DIV/0!</v>
      </c>
      <c r="AJ25" t="e">
        <f t="array" aca="1" ref="AJ25" ca="1">VAR(IF($H$6:$H$26=$AF25,$J$6:$J$26))</f>
        <v>#NAME?</v>
      </c>
      <c r="AK25" t="e">
        <f ca="1">($AG25-1)*AJ25</f>
        <v>#NAME?</v>
      </c>
      <c r="AL25" t="e">
        <f ca="1">SQRT(AI$30/AG25)</f>
        <v>#NAME?</v>
      </c>
      <c r="AM25" t="e">
        <f ca="1">AI25-AL25*TINV(AL$21,AG25-1)</f>
        <v>#DIV/0!</v>
      </c>
      <c r="AN25" t="e">
        <f ca="1">AI25+AL25*TINV(AL$21,AG25-1)</f>
        <v>#DIV/0!</v>
      </c>
      <c r="AP25" s="14" t="e">
        <f t="array" aca="1" ref="AP25" ca="1">MMULT(I25:L25-$AS$18:$AV$18,MMULT($AS$12:$AV$15,TRANSPOSE(I25:L25-$AS$18:$AV$18)))</f>
        <v>#NAME?</v>
      </c>
      <c r="AQ25" s="15" t="e">
        <f t="shared" ca="1" si="3"/>
        <v>#NAME?</v>
      </c>
      <c r="AR25" s="19" t="e">
        <f t="shared" ca="1" si="4"/>
        <v>#NAME?</v>
      </c>
    </row>
    <row r="26" spans="1:60" x14ac:dyDescent="0.35">
      <c r="A26" s="42" t="s">
        <v>41</v>
      </c>
      <c r="B26" s="34">
        <v>108</v>
      </c>
      <c r="C26" s="35">
        <v>247</v>
      </c>
      <c r="D26" s="35">
        <v>317</v>
      </c>
      <c r="E26" s="35">
        <v>307</v>
      </c>
      <c r="F26" s="36">
        <v>324</v>
      </c>
      <c r="H26" s="42" t="str">
        <f t="shared" si="0"/>
        <v>Old</v>
      </c>
      <c r="I26" s="16">
        <f t="shared" si="2"/>
        <v>139</v>
      </c>
      <c r="J26" s="17">
        <f t="shared" si="2"/>
        <v>70</v>
      </c>
      <c r="K26" s="17">
        <f t="shared" si="2"/>
        <v>-10</v>
      </c>
      <c r="L26" s="18">
        <f t="shared" si="2"/>
        <v>17</v>
      </c>
      <c r="AA26" s="14" t="e">
        <f ca="1"/>
        <v>#NAME?</v>
      </c>
      <c r="AB26" t="e">
        <f ca="1"/>
        <v>#NAME?</v>
      </c>
      <c r="AC26" t="e">
        <f ca="1"/>
        <v>#NAME?</v>
      </c>
      <c r="AD26" s="15" t="e">
        <f ca="1"/>
        <v>#NAME?</v>
      </c>
      <c r="AF26" s="37"/>
      <c r="AG26" s="37"/>
      <c r="AH26" s="37"/>
      <c r="AI26" s="37"/>
      <c r="AJ26" s="37"/>
      <c r="AK26" s="37"/>
      <c r="AL26" s="37"/>
      <c r="AM26" s="37"/>
      <c r="AN26" s="37"/>
      <c r="AP26" s="16" t="e">
        <f t="array" aca="1" ref="AP26" ca="1">MMULT(I26:L26-$AS$18:$AV$18,MMULT($AS$12:$AV$15,TRANSPOSE(I26:L26-$AS$18:$AV$18)))</f>
        <v>#NAME?</v>
      </c>
      <c r="AQ26" s="18" t="e">
        <f t="shared" ca="1" si="3"/>
        <v>#NAME?</v>
      </c>
      <c r="AR26" s="19" t="e">
        <f t="shared" ca="1" si="4"/>
        <v>#NAME?</v>
      </c>
    </row>
    <row r="27" spans="1:60" ht="15" thickBot="1" x14ac:dyDescent="0.4">
      <c r="AA27" s="16" t="e">
        <f ca="1"/>
        <v>#NAME?</v>
      </c>
      <c r="AB27" s="17" t="e">
        <f ca="1"/>
        <v>#NAME?</v>
      </c>
      <c r="AC27" s="17" t="e">
        <f ca="1"/>
        <v>#NAME?</v>
      </c>
      <c r="AD27" s="18" t="e">
        <f ca="1"/>
        <v>#NAME?</v>
      </c>
      <c r="AF27" t="s">
        <v>60</v>
      </c>
    </row>
    <row r="28" spans="1:60" ht="15" thickTop="1" x14ac:dyDescent="0.35">
      <c r="AF28" s="5" t="s">
        <v>63</v>
      </c>
      <c r="AG28" s="5" t="s">
        <v>48</v>
      </c>
      <c r="AH28" s="5" t="s">
        <v>64</v>
      </c>
      <c r="AI28" s="5" t="s">
        <v>65</v>
      </c>
      <c r="AJ28" s="5" t="s">
        <v>20</v>
      </c>
      <c r="AK28" s="5" t="s">
        <v>66</v>
      </c>
      <c r="AL28" s="5" t="s">
        <v>67</v>
      </c>
      <c r="AM28" s="5" t="s">
        <v>68</v>
      </c>
      <c r="AN28" s="5" t="s">
        <v>69</v>
      </c>
    </row>
    <row r="29" spans="1:60" x14ac:dyDescent="0.35">
      <c r="AA29" t="s">
        <v>80</v>
      </c>
      <c r="AF29" t="s">
        <v>70</v>
      </c>
      <c r="AG29" t="e">
        <f ca="1">AG31-AG30</f>
        <v>#NAME?</v>
      </c>
      <c r="AH29" t="e">
        <f ca="1">COUNTAU(H6:H26)-1</f>
        <v>#NAME?</v>
      </c>
      <c r="AI29" t="e">
        <f ca="1">AG29/AH29</f>
        <v>#NAME?</v>
      </c>
      <c r="AJ29" t="e">
        <f ca="1">AI29/AI30</f>
        <v>#NAME?</v>
      </c>
      <c r="AK29" t="e">
        <f ca="1">FDIST(AJ29,AH29,AH30)</f>
        <v>#NAME?</v>
      </c>
      <c r="AL29" t="e">
        <f ca="1">FINV(AL21,AH29,AH30)</f>
        <v>#NAME?</v>
      </c>
      <c r="AM29" t="e">
        <f ca="1">SQRT(DEVSQ(AI23:AI25)/(AI30*AH29))</f>
        <v>#DIV/0!</v>
      </c>
      <c r="AN29" t="e">
        <f ca="1">(AG31-AH31*AI30)/(AG31+AI30)</f>
        <v>#NAME?</v>
      </c>
    </row>
    <row r="30" spans="1:60" x14ac:dyDescent="0.35">
      <c r="AA30" s="11" t="e">
        <f t="array" aca="1" ref="AA30:AD33" ca="1">CORR(I6:L26)</f>
        <v>#NAME?</v>
      </c>
      <c r="AB30" s="12" t="e">
        <f ca="1"/>
        <v>#NAME?</v>
      </c>
      <c r="AC30" s="12" t="e">
        <f ca="1"/>
        <v>#NAME?</v>
      </c>
      <c r="AD30" s="13" t="e">
        <f ca="1"/>
        <v>#NAME?</v>
      </c>
      <c r="AF30" t="s">
        <v>72</v>
      </c>
      <c r="AG30" t="e">
        <f ca="1">SUM(AK23:AK25)</f>
        <v>#NAME?</v>
      </c>
      <c r="AH30" t="e">
        <f ca="1">AH31-AH29</f>
        <v>#NAME?</v>
      </c>
      <c r="AI30" t="e">
        <f ca="1">AG30/AH30</f>
        <v>#NAME?</v>
      </c>
    </row>
    <row r="31" spans="1:60" x14ac:dyDescent="0.35">
      <c r="AA31" s="14" t="e">
        <f ca="1"/>
        <v>#NAME?</v>
      </c>
      <c r="AB31" t="e">
        <f ca="1"/>
        <v>#NAME?</v>
      </c>
      <c r="AC31" t="e">
        <f ca="1"/>
        <v>#NAME?</v>
      </c>
      <c r="AD31" s="15" t="e">
        <f ca="1"/>
        <v>#NAME?</v>
      </c>
      <c r="AF31" s="29" t="s">
        <v>54</v>
      </c>
      <c r="AG31" s="29">
        <f>DEVSQ(J6:J26)</f>
        <v>86422.285714285725</v>
      </c>
      <c r="AH31" s="29">
        <f>COUNT(J6:J26)-1</f>
        <v>20</v>
      </c>
      <c r="AI31" s="29">
        <f>AG31/AH31</f>
        <v>4321.1142857142859</v>
      </c>
      <c r="AJ31" s="29"/>
      <c r="AK31" s="29"/>
      <c r="AL31" s="29"/>
      <c r="AM31" s="29"/>
      <c r="AN31" s="29"/>
    </row>
    <row r="32" spans="1:60" x14ac:dyDescent="0.35">
      <c r="AA32" s="14" t="e">
        <f ca="1"/>
        <v>#NAME?</v>
      </c>
      <c r="AB32" t="e">
        <f ca="1"/>
        <v>#NAME?</v>
      </c>
      <c r="AC32" t="e">
        <f ca="1"/>
        <v>#NAME?</v>
      </c>
      <c r="AD32" s="15" t="e">
        <f ca="1"/>
        <v>#NAME?</v>
      </c>
    </row>
    <row r="33" spans="27:40" x14ac:dyDescent="0.35">
      <c r="AA33" s="16" t="e">
        <f ca="1"/>
        <v>#NAME?</v>
      </c>
      <c r="AB33" s="17" t="e">
        <f ca="1"/>
        <v>#NAME?</v>
      </c>
      <c r="AC33" s="17" t="e">
        <f ca="1"/>
        <v>#NAME?</v>
      </c>
      <c r="AD33" s="18" t="e">
        <f ca="1"/>
        <v>#NAME?</v>
      </c>
      <c r="AF33" t="s">
        <v>27</v>
      </c>
      <c r="AI33" t="str">
        <f>K5</f>
        <v>Diff  3</v>
      </c>
    </row>
    <row r="35" spans="27:40" ht="15" thickBot="1" x14ac:dyDescent="0.4">
      <c r="AF35" t="s">
        <v>39</v>
      </c>
      <c r="AK35" t="s">
        <v>40</v>
      </c>
      <c r="AL35">
        <v>1.2500000000000001E-2</v>
      </c>
    </row>
    <row r="36" spans="27:40" ht="15" thickTop="1" x14ac:dyDescent="0.35">
      <c r="AF36" s="5" t="s">
        <v>44</v>
      </c>
      <c r="AG36" s="5" t="s">
        <v>31</v>
      </c>
      <c r="AH36" s="5" t="s">
        <v>45</v>
      </c>
      <c r="AI36" s="5" t="s">
        <v>46</v>
      </c>
      <c r="AJ36" s="5" t="s">
        <v>47</v>
      </c>
      <c r="AK36" s="5" t="s">
        <v>48</v>
      </c>
      <c r="AL36" s="5" t="s">
        <v>49</v>
      </c>
      <c r="AM36" s="5" t="s">
        <v>50</v>
      </c>
      <c r="AN36" s="5" t="s">
        <v>51</v>
      </c>
    </row>
    <row r="37" spans="27:40" x14ac:dyDescent="0.35">
      <c r="AF37" t="e">
        <f t="array" aca="1" ref="AF37:AF39" ca="1">SortUnique(H6:H26)</f>
        <v>#NAME?</v>
      </c>
      <c r="AG37">
        <f ca="1">COUNTIF($H$6:$H$26,$AF37)</f>
        <v>0</v>
      </c>
      <c r="AH37">
        <f ca="1">SUMIF($H$6:$H$26,$AF37,$K$6:$K$26)</f>
        <v>0</v>
      </c>
      <c r="AI37" t="e">
        <f ca="1">AVERAGEIF($H$6:$H$26,$AF37,$K$6:$K$26)</f>
        <v>#DIV/0!</v>
      </c>
      <c r="AJ37" t="e">
        <f t="array" aca="1" ref="AJ37" ca="1">VAR(IF($H$6:$H$26=$AF37,$K$6:$K$26))</f>
        <v>#NAME?</v>
      </c>
      <c r="AK37" t="e">
        <f ca="1">($AG37-1)*AJ37</f>
        <v>#NAME?</v>
      </c>
      <c r="AL37" t="e">
        <f ca="1">SQRT(AI$44/AG37)</f>
        <v>#NAME?</v>
      </c>
      <c r="AM37" t="e">
        <f ca="1">AI37-AL37*TINV(AL$35,AG37-1)</f>
        <v>#DIV/0!</v>
      </c>
      <c r="AN37" t="e">
        <f ca="1">AI37+AL37*TINV(AL$35,AG37-1)</f>
        <v>#DIV/0!</v>
      </c>
    </row>
    <row r="38" spans="27:40" x14ac:dyDescent="0.35">
      <c r="AF38" t="e">
        <f ca="1"/>
        <v>#NAME?</v>
      </c>
      <c r="AG38">
        <f ca="1">COUNTIF($H$6:$H$26,$AF38)</f>
        <v>0</v>
      </c>
      <c r="AH38">
        <f ca="1">SUMIF($H$6:$H$26,$AF38,$K$6:$K$26)</f>
        <v>0</v>
      </c>
      <c r="AI38" t="e">
        <f ca="1">AVERAGEIF($H$6:$H$26,$AF38,$K$6:$K$26)</f>
        <v>#DIV/0!</v>
      </c>
      <c r="AJ38" t="e">
        <f t="array" aca="1" ref="AJ38" ca="1">VAR(IF($H$6:$H$26=$AF38,$K$6:$K$26))</f>
        <v>#NAME?</v>
      </c>
      <c r="AK38" t="e">
        <f ca="1">($AG38-1)*AJ38</f>
        <v>#NAME?</v>
      </c>
      <c r="AL38" t="e">
        <f ca="1">SQRT(AI$44/AG38)</f>
        <v>#NAME?</v>
      </c>
      <c r="AM38" t="e">
        <f ca="1">AI38-AL38*TINV(AL$35,AG38-1)</f>
        <v>#DIV/0!</v>
      </c>
      <c r="AN38" t="e">
        <f ca="1">AI38+AL38*TINV(AL$35,AG38-1)</f>
        <v>#DIV/0!</v>
      </c>
    </row>
    <row r="39" spans="27:40" x14ac:dyDescent="0.35">
      <c r="AF39" t="e">
        <f ca="1"/>
        <v>#NAME?</v>
      </c>
      <c r="AG39">
        <f ca="1">COUNTIF($H$6:$H$26,$AF39)</f>
        <v>0</v>
      </c>
      <c r="AH39">
        <f ca="1">SUMIF($H$6:$H$26,$AF39,$K$6:$K$26)</f>
        <v>0</v>
      </c>
      <c r="AI39" t="e">
        <f ca="1">AVERAGEIF($H$6:$H$26,$AF39,$K$6:$K$26)</f>
        <v>#DIV/0!</v>
      </c>
      <c r="AJ39" t="e">
        <f t="array" aca="1" ref="AJ39" ca="1">VAR(IF($H$6:$H$26=$AF39,$K$6:$K$26))</f>
        <v>#NAME?</v>
      </c>
      <c r="AK39" t="e">
        <f ca="1">($AG39-1)*AJ39</f>
        <v>#NAME?</v>
      </c>
      <c r="AL39" t="e">
        <f ca="1">SQRT(AI$44/AG39)</f>
        <v>#NAME?</v>
      </c>
      <c r="AM39" t="e">
        <f ca="1">AI39-AL39*TINV(AL$35,AG39-1)</f>
        <v>#DIV/0!</v>
      </c>
      <c r="AN39" t="e">
        <f ca="1">AI39+AL39*TINV(AL$35,AG39-1)</f>
        <v>#DIV/0!</v>
      </c>
    </row>
    <row r="40" spans="27:40" x14ac:dyDescent="0.35">
      <c r="AF40" s="37"/>
      <c r="AG40" s="37"/>
      <c r="AH40" s="37"/>
      <c r="AI40" s="37"/>
      <c r="AJ40" s="37"/>
      <c r="AK40" s="37"/>
      <c r="AL40" s="37"/>
      <c r="AM40" s="37"/>
      <c r="AN40" s="37"/>
    </row>
    <row r="41" spans="27:40" ht="15" thickBot="1" x14ac:dyDescent="0.4">
      <c r="AF41" t="s">
        <v>60</v>
      </c>
    </row>
    <row r="42" spans="27:40" ht="15" thickTop="1" x14ac:dyDescent="0.35">
      <c r="AF42" s="5" t="s">
        <v>63</v>
      </c>
      <c r="AG42" s="5" t="s">
        <v>48</v>
      </c>
      <c r="AH42" s="5" t="s">
        <v>64</v>
      </c>
      <c r="AI42" s="5" t="s">
        <v>65</v>
      </c>
      <c r="AJ42" s="5" t="s">
        <v>20</v>
      </c>
      <c r="AK42" s="5" t="s">
        <v>66</v>
      </c>
      <c r="AL42" s="5" t="s">
        <v>67</v>
      </c>
      <c r="AM42" s="5" t="s">
        <v>68</v>
      </c>
      <c r="AN42" s="5" t="s">
        <v>69</v>
      </c>
    </row>
    <row r="43" spans="27:40" x14ac:dyDescent="0.35">
      <c r="AF43" t="s">
        <v>70</v>
      </c>
      <c r="AG43" t="e">
        <f ca="1">AG45-AG44</f>
        <v>#NAME?</v>
      </c>
      <c r="AH43" t="e">
        <f ca="1">COUNTAU(H6:H26)-1</f>
        <v>#NAME?</v>
      </c>
      <c r="AI43" t="e">
        <f ca="1">AG43/AH43</f>
        <v>#NAME?</v>
      </c>
      <c r="AJ43" t="e">
        <f ca="1">AI43/AI44</f>
        <v>#NAME?</v>
      </c>
      <c r="AK43" t="e">
        <f ca="1">FDIST(AJ43,AH43,AH44)</f>
        <v>#NAME?</v>
      </c>
      <c r="AL43" t="e">
        <f ca="1">FINV(AL35,AH43,AH44)</f>
        <v>#NAME?</v>
      </c>
      <c r="AM43" t="e">
        <f ca="1">SQRT(DEVSQ(AI37:AI39)/(AI44*AH43))</f>
        <v>#DIV/0!</v>
      </c>
      <c r="AN43" t="e">
        <f ca="1">(AG45-AH45*AI44)/(AG45+AI44)</f>
        <v>#NAME?</v>
      </c>
    </row>
    <row r="44" spans="27:40" x14ac:dyDescent="0.35">
      <c r="AF44" t="s">
        <v>72</v>
      </c>
      <c r="AG44" t="e">
        <f ca="1">SUM(AK37:AK39)</f>
        <v>#NAME?</v>
      </c>
      <c r="AH44" t="e">
        <f ca="1">AH45-AH43</f>
        <v>#NAME?</v>
      </c>
      <c r="AI44" t="e">
        <f ca="1">AG44/AH44</f>
        <v>#NAME?</v>
      </c>
    </row>
    <row r="45" spans="27:40" x14ac:dyDescent="0.35">
      <c r="AF45" s="29" t="s">
        <v>54</v>
      </c>
      <c r="AG45" s="29">
        <f>DEVSQ(K6:K26)</f>
        <v>56100.571428571428</v>
      </c>
      <c r="AH45" s="29">
        <f>COUNT(K6:K26)-1</f>
        <v>20</v>
      </c>
      <c r="AI45" s="29">
        <f>AG45/AH45</f>
        <v>2805.0285714285715</v>
      </c>
      <c r="AJ45" s="29"/>
      <c r="AK45" s="29"/>
      <c r="AL45" s="29"/>
      <c r="AM45" s="29"/>
      <c r="AN45" s="29"/>
    </row>
    <row r="47" spans="27:40" x14ac:dyDescent="0.35">
      <c r="AF47" t="s">
        <v>27</v>
      </c>
      <c r="AI47" t="str">
        <f>L5</f>
        <v>Diff  4</v>
      </c>
    </row>
    <row r="49" spans="32:40" ht="15" thickBot="1" x14ac:dyDescent="0.4">
      <c r="AF49" t="s">
        <v>39</v>
      </c>
      <c r="AK49" t="s">
        <v>40</v>
      </c>
      <c r="AL49">
        <v>1.2500000000000001E-2</v>
      </c>
    </row>
    <row r="50" spans="32:40" ht="15" thickTop="1" x14ac:dyDescent="0.35">
      <c r="AF50" s="5" t="s">
        <v>44</v>
      </c>
      <c r="AG50" s="5" t="s">
        <v>31</v>
      </c>
      <c r="AH50" s="5" t="s">
        <v>45</v>
      </c>
      <c r="AI50" s="5" t="s">
        <v>46</v>
      </c>
      <c r="AJ50" s="5" t="s">
        <v>47</v>
      </c>
      <c r="AK50" s="5" t="s">
        <v>48</v>
      </c>
      <c r="AL50" s="5" t="s">
        <v>49</v>
      </c>
      <c r="AM50" s="5" t="s">
        <v>50</v>
      </c>
      <c r="AN50" s="5" t="s">
        <v>51</v>
      </c>
    </row>
    <row r="51" spans="32:40" x14ac:dyDescent="0.35">
      <c r="AF51" t="e">
        <f t="array" aca="1" ref="AF51:AF53" ca="1">SortUnique(H6:H26)</f>
        <v>#NAME?</v>
      </c>
      <c r="AG51">
        <f ca="1">COUNTIF($H$6:$H$26,$AF51)</f>
        <v>0</v>
      </c>
      <c r="AH51">
        <f ca="1">SUMIF($H$6:$H$26,$AF51,$L$6:$L$26)</f>
        <v>0</v>
      </c>
      <c r="AI51" t="e">
        <f ca="1">AVERAGEIF($H$6:$H$26,$AF51,$L$6:$L$26)</f>
        <v>#DIV/0!</v>
      </c>
      <c r="AJ51" t="e">
        <f t="array" aca="1" ref="AJ51" ca="1">VAR(IF($H$6:$H$26=$AF51,$L$6:$L$26))</f>
        <v>#NAME?</v>
      </c>
      <c r="AK51" t="e">
        <f ca="1">($AG51-1)*AJ51</f>
        <v>#NAME?</v>
      </c>
      <c r="AL51" t="e">
        <f ca="1">SQRT(AI$58/AG51)</f>
        <v>#NAME?</v>
      </c>
      <c r="AM51" t="e">
        <f ca="1">AI51-AL51*TINV(AL$49,AG51-1)</f>
        <v>#DIV/0!</v>
      </c>
      <c r="AN51" t="e">
        <f ca="1">AI51+AL51*TINV(AL$49,AG51-1)</f>
        <v>#DIV/0!</v>
      </c>
    </row>
    <row r="52" spans="32:40" x14ac:dyDescent="0.35">
      <c r="AF52" t="e">
        <f ca="1"/>
        <v>#NAME?</v>
      </c>
      <c r="AG52">
        <f ca="1">COUNTIF($H$6:$H$26,$AF52)</f>
        <v>0</v>
      </c>
      <c r="AH52">
        <f ca="1">SUMIF($H$6:$H$26,$AF52,$L$6:$L$26)</f>
        <v>0</v>
      </c>
      <c r="AI52" t="e">
        <f ca="1">AVERAGEIF($H$6:$H$26,$AF52,$L$6:$L$26)</f>
        <v>#DIV/0!</v>
      </c>
      <c r="AJ52" t="e">
        <f t="array" aca="1" ref="AJ52" ca="1">VAR(IF($H$6:$H$26=$AF52,$L$6:$L$26))</f>
        <v>#NAME?</v>
      </c>
      <c r="AK52" t="e">
        <f ca="1">($AG52-1)*AJ52</f>
        <v>#NAME?</v>
      </c>
      <c r="AL52" t="e">
        <f ca="1">SQRT(AI$58/AG52)</f>
        <v>#NAME?</v>
      </c>
      <c r="AM52" t="e">
        <f ca="1">AI52-AL52*TINV(AL$49,AG52-1)</f>
        <v>#DIV/0!</v>
      </c>
      <c r="AN52" t="e">
        <f ca="1">AI52+AL52*TINV(AL$49,AG52-1)</f>
        <v>#DIV/0!</v>
      </c>
    </row>
    <row r="53" spans="32:40" x14ac:dyDescent="0.35">
      <c r="AF53" t="e">
        <f ca="1"/>
        <v>#NAME?</v>
      </c>
      <c r="AG53">
        <f ca="1">COUNTIF($H$6:$H$26,$AF53)</f>
        <v>0</v>
      </c>
      <c r="AH53">
        <f ca="1">SUMIF($H$6:$H$26,$AF53,$L$6:$L$26)</f>
        <v>0</v>
      </c>
      <c r="AI53" t="e">
        <f ca="1">AVERAGEIF($H$6:$H$26,$AF53,$L$6:$L$26)</f>
        <v>#DIV/0!</v>
      </c>
      <c r="AJ53" t="e">
        <f t="array" aca="1" ref="AJ53" ca="1">VAR(IF($H$6:$H$26=$AF53,$L$6:$L$26))</f>
        <v>#NAME?</v>
      </c>
      <c r="AK53" t="e">
        <f ca="1">($AG53-1)*AJ53</f>
        <v>#NAME?</v>
      </c>
      <c r="AL53" t="e">
        <f ca="1">SQRT(AI$58/AG53)</f>
        <v>#NAME?</v>
      </c>
      <c r="AM53" t="e">
        <f ca="1">AI53-AL53*TINV(AL$49,AG53-1)</f>
        <v>#DIV/0!</v>
      </c>
      <c r="AN53" t="e">
        <f ca="1">AI53+AL53*TINV(AL$49,AG53-1)</f>
        <v>#DIV/0!</v>
      </c>
    </row>
    <row r="54" spans="32:40" x14ac:dyDescent="0.35">
      <c r="AF54" s="37"/>
      <c r="AG54" s="37"/>
      <c r="AH54" s="37"/>
      <c r="AI54" s="37"/>
      <c r="AJ54" s="37"/>
      <c r="AK54" s="37"/>
      <c r="AL54" s="37"/>
      <c r="AM54" s="37"/>
      <c r="AN54" s="37"/>
    </row>
    <row r="55" spans="32:40" ht="15" thickBot="1" x14ac:dyDescent="0.4">
      <c r="AF55" t="s">
        <v>60</v>
      </c>
    </row>
    <row r="56" spans="32:40" ht="15" thickTop="1" x14ac:dyDescent="0.35">
      <c r="AF56" s="5" t="s">
        <v>63</v>
      </c>
      <c r="AG56" s="5" t="s">
        <v>48</v>
      </c>
      <c r="AH56" s="5" t="s">
        <v>64</v>
      </c>
      <c r="AI56" s="5" t="s">
        <v>65</v>
      </c>
      <c r="AJ56" s="5" t="s">
        <v>20</v>
      </c>
      <c r="AK56" s="5" t="s">
        <v>66</v>
      </c>
      <c r="AL56" s="5" t="s">
        <v>67</v>
      </c>
      <c r="AM56" s="5" t="s">
        <v>68</v>
      </c>
      <c r="AN56" s="5" t="s">
        <v>69</v>
      </c>
    </row>
    <row r="57" spans="32:40" x14ac:dyDescent="0.35">
      <c r="AF57" t="s">
        <v>70</v>
      </c>
      <c r="AG57" t="e">
        <f ca="1">AG59-AG58</f>
        <v>#NAME?</v>
      </c>
      <c r="AH57" t="e">
        <f ca="1">COUNTAU(H6:H26)-1</f>
        <v>#NAME?</v>
      </c>
      <c r="AI57" t="e">
        <f ca="1">AG57/AH57</f>
        <v>#NAME?</v>
      </c>
      <c r="AJ57" t="e">
        <f ca="1">AI57/AI58</f>
        <v>#NAME?</v>
      </c>
      <c r="AK57" t="e">
        <f ca="1">FDIST(AJ57,AH57,AH58)</f>
        <v>#NAME?</v>
      </c>
      <c r="AL57" t="e">
        <f ca="1">FINV(AL49,AH57,AH58)</f>
        <v>#NAME?</v>
      </c>
      <c r="AM57" t="e">
        <f ca="1">SQRT(DEVSQ(AI51:AI53)/(AI58*AH57))</f>
        <v>#DIV/0!</v>
      </c>
      <c r="AN57" t="e">
        <f ca="1">(AG59-AH59*AI58)/(AG59+AI58)</f>
        <v>#NAME?</v>
      </c>
    </row>
    <row r="58" spans="32:40" x14ac:dyDescent="0.35">
      <c r="AF58" t="s">
        <v>72</v>
      </c>
      <c r="AG58" t="e">
        <f ca="1">SUM(AK51:AK53)</f>
        <v>#NAME?</v>
      </c>
      <c r="AH58" t="e">
        <f ca="1">AH59-AH57</f>
        <v>#NAME?</v>
      </c>
      <c r="AI58" t="e">
        <f ca="1">AG58/AH58</f>
        <v>#NAME?</v>
      </c>
    </row>
    <row r="59" spans="32:40" x14ac:dyDescent="0.35">
      <c r="AF59" s="29" t="s">
        <v>54</v>
      </c>
      <c r="AG59" s="29">
        <f>DEVSQ(L6:L26)</f>
        <v>97342.952380952382</v>
      </c>
      <c r="AH59" s="29">
        <f>COUNT(L6:L26)-1</f>
        <v>20</v>
      </c>
      <c r="AI59" s="29">
        <f>AG59/AH59</f>
        <v>4867.1476190476187</v>
      </c>
      <c r="AJ59" s="29"/>
      <c r="AK59" s="29"/>
      <c r="AL59" s="29"/>
      <c r="AM59" s="29"/>
      <c r="AN59" s="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C8716-56EA-4920-93C5-F8F543F1FA94}">
  <dimension ref="A1:AB26"/>
  <sheetViews>
    <sheetView workbookViewId="0"/>
  </sheetViews>
  <sheetFormatPr defaultRowHeight="14.5" x14ac:dyDescent="0.35"/>
  <cols>
    <col min="2" max="3" width="6.54296875" customWidth="1"/>
    <col min="8" max="8" width="15.7265625" customWidth="1"/>
    <col min="19" max="19" width="6.453125" customWidth="1"/>
    <col min="20" max="20" width="15.7265625" customWidth="1"/>
  </cols>
  <sheetData>
    <row r="1" spans="1:28" x14ac:dyDescent="0.35">
      <c r="A1" s="1" t="s">
        <v>81</v>
      </c>
    </row>
    <row r="3" spans="1:28" x14ac:dyDescent="0.35">
      <c r="E3" t="s">
        <v>1</v>
      </c>
      <c r="H3" t="s">
        <v>2</v>
      </c>
      <c r="P3" t="s">
        <v>82</v>
      </c>
    </row>
    <row r="4" spans="1:28" ht="15" thickBot="1" x14ac:dyDescent="0.4"/>
    <row r="5" spans="1:28" ht="15" thickTop="1" x14ac:dyDescent="0.35">
      <c r="A5" s="2" t="s">
        <v>9</v>
      </c>
      <c r="B5" s="3" t="s">
        <v>10</v>
      </c>
      <c r="C5" s="3" t="s">
        <v>11</v>
      </c>
      <c r="E5" t="str">
        <f>A5</f>
        <v>Age</v>
      </c>
      <c r="F5" s="3" t="s">
        <v>15</v>
      </c>
      <c r="H5" s="5"/>
      <c r="I5" s="5" t="s">
        <v>19</v>
      </c>
      <c r="J5" s="5" t="s">
        <v>20</v>
      </c>
      <c r="K5" s="5" t="s">
        <v>21</v>
      </c>
      <c r="L5" s="5" t="s">
        <v>22</v>
      </c>
      <c r="M5" s="5" t="s">
        <v>23</v>
      </c>
      <c r="N5" s="5" t="s">
        <v>24</v>
      </c>
      <c r="P5" t="e">
        <f t="array" aca="1" ref="P5:R12" ca="1">StdAnova1(E6:F26)</f>
        <v>#NAME?</v>
      </c>
      <c r="Q5" t="e">
        <f ca="1"/>
        <v>#NAME?</v>
      </c>
      <c r="R5" t="e">
        <f ca="1"/>
        <v>#NAME?</v>
      </c>
      <c r="T5" t="s">
        <v>27</v>
      </c>
    </row>
    <row r="6" spans="1:28" x14ac:dyDescent="0.35">
      <c r="A6" t="s">
        <v>35</v>
      </c>
      <c r="B6" s="7">
        <v>250</v>
      </c>
      <c r="C6" s="9">
        <v>278</v>
      </c>
      <c r="E6" t="str">
        <f t="shared" ref="E6:E26" si="0">A6</f>
        <v>Young</v>
      </c>
      <c r="F6" s="6">
        <f>C6-B6</f>
        <v>28</v>
      </c>
      <c r="H6" t="s">
        <v>36</v>
      </c>
      <c r="I6" t="e">
        <f ca="1">MANOVA_PillaiTrace(E6:F26)</f>
        <v>#NAME?</v>
      </c>
      <c r="J6" t="e">
        <f ca="1">MANOVA_PillaiF(E6:F26)</f>
        <v>#NAME?</v>
      </c>
      <c r="K6" t="e">
        <f ca="1">MANOVA_Pillaidf1(E6:F26)</f>
        <v>#NAME?</v>
      </c>
      <c r="L6" t="e">
        <f ca="1">MANOVA_Pillaidf2(E6:F26)</f>
        <v>#NAME?</v>
      </c>
      <c r="M6" t="e">
        <f ca="1">F_DIST_RT(J6,K6,L6)</f>
        <v>#NAME?</v>
      </c>
      <c r="N6" t="e">
        <f ca="1">J6*K6/(J6*K6+L6)</f>
        <v>#NAME?</v>
      </c>
      <c r="P6" s="11" t="e">
        <f ca="1"/>
        <v>#NAME?</v>
      </c>
      <c r="Q6" s="12" t="e">
        <f ca="1"/>
        <v>#NAME?</v>
      </c>
      <c r="R6" s="13" t="e">
        <f ca="1"/>
        <v>#NAME?</v>
      </c>
    </row>
    <row r="7" spans="1:28" ht="15" thickBot="1" x14ac:dyDescent="0.4">
      <c r="A7" t="s">
        <v>35</v>
      </c>
      <c r="B7" s="22">
        <v>65</v>
      </c>
      <c r="C7" s="24">
        <v>207</v>
      </c>
      <c r="E7" t="str">
        <f t="shared" si="0"/>
        <v>Young</v>
      </c>
      <c r="F7" s="20">
        <f t="shared" ref="F7:F26" si="1">C7-B7</f>
        <v>142</v>
      </c>
      <c r="H7" t="s">
        <v>38</v>
      </c>
      <c r="I7" t="e">
        <f ca="1">MANOVA_WilksLambda(E6:F26)</f>
        <v>#NAME?</v>
      </c>
      <c r="J7" t="e">
        <f t="array" aca="1" ref="J7" ca="1">MANOVA_WilksF(E6:F26)</f>
        <v>#NAME?</v>
      </c>
      <c r="K7" t="e">
        <f ca="1">MANOVA_Wilksdf1(E6:F26)</f>
        <v>#NAME?</v>
      </c>
      <c r="L7" t="e">
        <f ca="1">MANOVA_Wilksdf2(E6:F26)</f>
        <v>#NAME?</v>
      </c>
      <c r="M7" t="e">
        <f ca="1">F_DIST_RT(J7,K7,L7)</f>
        <v>#NAME?</v>
      </c>
      <c r="N7" t="e">
        <f ca="1">J7*K7/(J7*K7+L7)</f>
        <v>#NAME?</v>
      </c>
      <c r="P7" s="14" t="e">
        <f ca="1"/>
        <v>#NAME?</v>
      </c>
      <c r="Q7" t="e">
        <f ca="1"/>
        <v>#NAME?</v>
      </c>
      <c r="R7" s="15" t="e">
        <f ca="1"/>
        <v>#NAME?</v>
      </c>
      <c r="T7" t="s">
        <v>39</v>
      </c>
      <c r="Y7" t="s">
        <v>40</v>
      </c>
      <c r="Z7">
        <v>0.05</v>
      </c>
    </row>
    <row r="8" spans="1:28" ht="15" thickTop="1" x14ac:dyDescent="0.35">
      <c r="A8" t="s">
        <v>35</v>
      </c>
      <c r="B8" s="22">
        <v>251</v>
      </c>
      <c r="C8" s="24">
        <v>261</v>
      </c>
      <c r="E8" t="str">
        <f t="shared" si="0"/>
        <v>Young</v>
      </c>
      <c r="F8" s="20">
        <f t="shared" si="1"/>
        <v>10</v>
      </c>
      <c r="H8" t="s">
        <v>43</v>
      </c>
      <c r="I8" t="e">
        <f ca="1">MANOVA_HotelTrace(E6:F26)</f>
        <v>#NAME?</v>
      </c>
      <c r="J8" t="e">
        <f ca="1">MANOVA_HotelF(E6:F26)</f>
        <v>#NAME?</v>
      </c>
      <c r="K8" t="e">
        <f ca="1">MANOVA_Hoteldf1(E6:F26)</f>
        <v>#NAME?</v>
      </c>
      <c r="L8" t="e">
        <f ca="1">MANOVA_Hoteldf2(E6:F26)</f>
        <v>#NAME?</v>
      </c>
      <c r="M8" t="e">
        <f ca="1">F_DIST_RT(J8,K8,L8)</f>
        <v>#NAME?</v>
      </c>
      <c r="N8" t="e">
        <f ca="1">J8*K8/(J8*K8+L8)</f>
        <v>#NAME?</v>
      </c>
      <c r="P8" s="14" t="e">
        <f ca="1"/>
        <v>#NAME?</v>
      </c>
      <c r="Q8" t="e">
        <f ca="1"/>
        <v>#NAME?</v>
      </c>
      <c r="R8" s="15" t="e">
        <f ca="1"/>
        <v>#NAME?</v>
      </c>
      <c r="T8" s="5" t="s">
        <v>44</v>
      </c>
      <c r="U8" s="5" t="s">
        <v>31</v>
      </c>
      <c r="V8" s="5" t="s">
        <v>45</v>
      </c>
      <c r="W8" s="5" t="s">
        <v>46</v>
      </c>
      <c r="X8" s="5" t="s">
        <v>47</v>
      </c>
      <c r="Y8" s="5" t="s">
        <v>48</v>
      </c>
      <c r="Z8" s="5" t="s">
        <v>49</v>
      </c>
      <c r="AA8" s="5" t="s">
        <v>50</v>
      </c>
      <c r="AB8" s="5" t="s">
        <v>51</v>
      </c>
    </row>
    <row r="9" spans="1:28" x14ac:dyDescent="0.35">
      <c r="A9" t="s">
        <v>35</v>
      </c>
      <c r="B9" s="22">
        <v>241</v>
      </c>
      <c r="C9" s="24">
        <v>314</v>
      </c>
      <c r="E9" t="str">
        <f t="shared" si="0"/>
        <v>Young</v>
      </c>
      <c r="F9" s="20">
        <f t="shared" si="1"/>
        <v>73</v>
      </c>
      <c r="H9" s="29" t="s">
        <v>53</v>
      </c>
      <c r="I9" s="29" t="e">
        <f ca="1">MANOVA_RoyRoot(E6:F26)</f>
        <v>#NAME?</v>
      </c>
      <c r="J9" s="29"/>
      <c r="K9" s="29"/>
      <c r="L9" s="29"/>
      <c r="M9" s="29"/>
      <c r="N9" s="29"/>
      <c r="P9" s="14" t="e">
        <f ca="1"/>
        <v>#NAME?</v>
      </c>
      <c r="Q9" t="e">
        <f ca="1"/>
        <v>#NAME?</v>
      </c>
      <c r="R9" s="15" t="e">
        <f ca="1"/>
        <v>#NAME?</v>
      </c>
      <c r="T9" t="e">
        <f ca="1">P5</f>
        <v>#NAME?</v>
      </c>
      <c r="U9">
        <f ca="1">COUNT(P6:P12)</f>
        <v>0</v>
      </c>
      <c r="V9" t="e">
        <f ca="1">SUM(P6:P12)</f>
        <v>#NAME?</v>
      </c>
      <c r="W9" t="e">
        <f ca="1">AVERAGE(P6:P12)</f>
        <v>#NAME?</v>
      </c>
      <c r="X9" t="e">
        <f ca="1">VAR(P6:P12)</f>
        <v>#NAME?</v>
      </c>
      <c r="Y9" t="e">
        <f ca="1">DEVSQ(P6:P12)</f>
        <v>#NAME?</v>
      </c>
      <c r="Z9" t="e">
        <f ca="1">SQRT(W16/U9)</f>
        <v>#NAME?</v>
      </c>
      <c r="AA9" t="e">
        <f ca="1">W9-Z9*TINV(Z7,U9-1)</f>
        <v>#NAME?</v>
      </c>
      <c r="AB9" t="e">
        <f ca="1">W9+Z9*TINV(Z7,U9-1)</f>
        <v>#NAME?</v>
      </c>
    </row>
    <row r="10" spans="1:28" x14ac:dyDescent="0.35">
      <c r="A10" t="s">
        <v>35</v>
      </c>
      <c r="B10" s="22">
        <v>154</v>
      </c>
      <c r="C10" s="24">
        <v>167</v>
      </c>
      <c r="E10" t="str">
        <f t="shared" si="0"/>
        <v>Young</v>
      </c>
      <c r="F10" s="20">
        <f t="shared" si="1"/>
        <v>13</v>
      </c>
      <c r="P10" s="14" t="e">
        <f ca="1"/>
        <v>#NAME?</v>
      </c>
      <c r="Q10" t="e">
        <f ca="1"/>
        <v>#NAME?</v>
      </c>
      <c r="R10" s="15" t="e">
        <f ca="1"/>
        <v>#NAME?</v>
      </c>
      <c r="T10" t="e">
        <f ca="1">Q5</f>
        <v>#NAME?</v>
      </c>
      <c r="U10">
        <f ca="1">COUNT(Q6:Q12)</f>
        <v>0</v>
      </c>
      <c r="V10" t="e">
        <f ca="1">SUM(Q6:Q12)</f>
        <v>#NAME?</v>
      </c>
      <c r="W10" t="e">
        <f ca="1">AVERAGE(Q6:Q12)</f>
        <v>#NAME?</v>
      </c>
      <c r="X10" t="e">
        <f ca="1">VAR(Q6:Q12)</f>
        <v>#NAME?</v>
      </c>
      <c r="Y10" t="e">
        <f ca="1">DEVSQ(Q6:Q12)</f>
        <v>#NAME?</v>
      </c>
      <c r="Z10" t="e">
        <f ca="1">SQRT(W16/U10)</f>
        <v>#NAME?</v>
      </c>
      <c r="AA10" t="e">
        <f ca="1">W10-Z10*TINV(Z7,U10-1)</f>
        <v>#NAME?</v>
      </c>
      <c r="AB10" t="e">
        <f ca="1">W10+Z10*TINV(Z7,U10-1)</f>
        <v>#NAME?</v>
      </c>
    </row>
    <row r="11" spans="1:28" x14ac:dyDescent="0.35">
      <c r="A11" t="s">
        <v>35</v>
      </c>
      <c r="B11" s="22">
        <v>103</v>
      </c>
      <c r="C11" s="24">
        <v>286</v>
      </c>
      <c r="E11" t="str">
        <f t="shared" si="0"/>
        <v>Young</v>
      </c>
      <c r="F11" s="20">
        <f t="shared" si="1"/>
        <v>183</v>
      </c>
      <c r="P11" s="14" t="e">
        <f ca="1"/>
        <v>#NAME?</v>
      </c>
      <c r="Q11" t="e">
        <f ca="1"/>
        <v>#NAME?</v>
      </c>
      <c r="R11" s="15" t="e">
        <f ca="1"/>
        <v>#NAME?</v>
      </c>
      <c r="T11" t="e">
        <f ca="1">R5</f>
        <v>#NAME?</v>
      </c>
      <c r="U11">
        <f ca="1">COUNT(R6:R12)</f>
        <v>0</v>
      </c>
      <c r="V11" t="e">
        <f ca="1">SUM(R6:R12)</f>
        <v>#NAME?</v>
      </c>
      <c r="W11" t="e">
        <f ca="1">AVERAGE(R6:R12)</f>
        <v>#NAME?</v>
      </c>
      <c r="X11" t="e">
        <f ca="1">VAR(R6:R12)</f>
        <v>#NAME?</v>
      </c>
      <c r="Y11" t="e">
        <f ca="1">DEVSQ(R6:R12)</f>
        <v>#NAME?</v>
      </c>
      <c r="Z11" t="e">
        <f ca="1">SQRT(W16/U11)</f>
        <v>#NAME?</v>
      </c>
      <c r="AA11" t="e">
        <f ca="1">W11-Z11*TINV(Z7,U11-1)</f>
        <v>#NAME?</v>
      </c>
      <c r="AB11" t="e">
        <f ca="1">W11+Z11*TINV(Z7,U11-1)</f>
        <v>#NAME?</v>
      </c>
    </row>
    <row r="12" spans="1:28" x14ac:dyDescent="0.35">
      <c r="A12" t="s">
        <v>35</v>
      </c>
      <c r="B12" s="34">
        <v>230</v>
      </c>
      <c r="C12" s="24">
        <v>306</v>
      </c>
      <c r="E12" t="str">
        <f t="shared" si="0"/>
        <v>Young</v>
      </c>
      <c r="F12" s="20">
        <f t="shared" si="1"/>
        <v>76</v>
      </c>
      <c r="P12" s="16" t="e">
        <f ca="1"/>
        <v>#NAME?</v>
      </c>
      <c r="Q12" s="17" t="e">
        <f ca="1"/>
        <v>#NAME?</v>
      </c>
      <c r="R12" s="18" t="e">
        <f ca="1"/>
        <v>#NAME?</v>
      </c>
      <c r="T12" s="37"/>
      <c r="U12" s="37"/>
      <c r="V12" s="37"/>
      <c r="W12" s="37"/>
      <c r="X12" s="37"/>
      <c r="Y12" s="37"/>
      <c r="Z12" s="37"/>
      <c r="AA12" s="37"/>
      <c r="AB12" s="37"/>
    </row>
    <row r="13" spans="1:28" ht="15" thickBot="1" x14ac:dyDescent="0.4">
      <c r="A13" s="10" t="s">
        <v>26</v>
      </c>
      <c r="B13" s="7">
        <v>54</v>
      </c>
      <c r="C13" s="9">
        <v>172</v>
      </c>
      <c r="E13" t="str">
        <f t="shared" si="0"/>
        <v>Middle</v>
      </c>
      <c r="F13" s="20">
        <f t="shared" si="1"/>
        <v>118</v>
      </c>
      <c r="T13" t="s">
        <v>60</v>
      </c>
    </row>
    <row r="14" spans="1:28" ht="15" thickTop="1" x14ac:dyDescent="0.35">
      <c r="A14" s="25" t="s">
        <v>26</v>
      </c>
      <c r="B14" s="22">
        <v>20</v>
      </c>
      <c r="C14" s="24">
        <v>116</v>
      </c>
      <c r="E14" t="str">
        <f t="shared" si="0"/>
        <v>Middle</v>
      </c>
      <c r="F14" s="20">
        <f t="shared" si="1"/>
        <v>96</v>
      </c>
      <c r="T14" s="5" t="s">
        <v>63</v>
      </c>
      <c r="U14" s="5" t="s">
        <v>48</v>
      </c>
      <c r="V14" s="5" t="s">
        <v>64</v>
      </c>
      <c r="W14" s="5" t="s">
        <v>65</v>
      </c>
      <c r="X14" s="5" t="s">
        <v>20</v>
      </c>
      <c r="Y14" s="5" t="s">
        <v>66</v>
      </c>
      <c r="Z14" s="5" t="s">
        <v>67</v>
      </c>
      <c r="AA14" s="5" t="s">
        <v>68</v>
      </c>
      <c r="AB14" s="5" t="s">
        <v>69</v>
      </c>
    </row>
    <row r="15" spans="1:28" x14ac:dyDescent="0.35">
      <c r="A15" s="25" t="s">
        <v>26</v>
      </c>
      <c r="B15" s="22">
        <v>41</v>
      </c>
      <c r="C15" s="24">
        <v>168</v>
      </c>
      <c r="E15" t="str">
        <f t="shared" si="0"/>
        <v>Middle</v>
      </c>
      <c r="F15" s="20">
        <f t="shared" si="1"/>
        <v>127</v>
      </c>
      <c r="T15" t="s">
        <v>70</v>
      </c>
      <c r="U15" t="e">
        <f ca="1">U17-U16</f>
        <v>#NAME?</v>
      </c>
      <c r="V15">
        <f ca="1">COUNTA(T9:T11)-1</f>
        <v>2</v>
      </c>
      <c r="W15" t="e">
        <f ca="1">U15/V15</f>
        <v>#NAME?</v>
      </c>
      <c r="X15" t="e">
        <f ca="1">W15/W16</f>
        <v>#NAME?</v>
      </c>
      <c r="Y15" t="e">
        <f ca="1">FDIST(X15,V15,V16)</f>
        <v>#NAME?</v>
      </c>
      <c r="Z15" t="e">
        <f ca="1">FINV(Z7,V15,V16)</f>
        <v>#NUM!</v>
      </c>
      <c r="AA15" t="e">
        <f ca="1">SQRT(DEVSQ(W9:W11)/(W16*V15))</f>
        <v>#NAME?</v>
      </c>
      <c r="AB15" t="e">
        <f ca="1">(U17-V17*W16)/(U17+W16)</f>
        <v>#NAME?</v>
      </c>
    </row>
    <row r="16" spans="1:28" x14ac:dyDescent="0.35">
      <c r="A16" s="25" t="s">
        <v>26</v>
      </c>
      <c r="B16" s="22">
        <v>200</v>
      </c>
      <c r="C16" s="24">
        <v>157</v>
      </c>
      <c r="E16" t="str">
        <f t="shared" si="0"/>
        <v>Middle</v>
      </c>
      <c r="F16" s="20">
        <f t="shared" si="1"/>
        <v>-43</v>
      </c>
      <c r="T16" t="s">
        <v>72</v>
      </c>
      <c r="U16" t="e">
        <f ca="1">SUM(Y9:Y11)</f>
        <v>#NAME?</v>
      </c>
      <c r="V16">
        <f ca="1">V17-V15</f>
        <v>-3</v>
      </c>
      <c r="W16" t="e">
        <f ca="1">U16/V16</f>
        <v>#NAME?</v>
      </c>
    </row>
    <row r="17" spans="1:28" x14ac:dyDescent="0.35">
      <c r="A17" s="25" t="s">
        <v>26</v>
      </c>
      <c r="B17" s="22">
        <v>34</v>
      </c>
      <c r="C17" s="24">
        <v>86</v>
      </c>
      <c r="E17" t="str">
        <f t="shared" si="0"/>
        <v>Middle</v>
      </c>
      <c r="F17" s="20">
        <f t="shared" si="1"/>
        <v>52</v>
      </c>
      <c r="T17" s="29" t="s">
        <v>54</v>
      </c>
      <c r="U17" s="29" t="e">
        <f ca="1">DEVSQ(P6:R12)</f>
        <v>#NAME?</v>
      </c>
      <c r="V17" s="29">
        <f ca="1">COUNT(P6:R12)-1</f>
        <v>-1</v>
      </c>
      <c r="W17" s="29" t="e">
        <f ca="1">U17/V17</f>
        <v>#NAME?</v>
      </c>
      <c r="X17" s="29"/>
      <c r="Y17" s="29"/>
      <c r="Z17" s="29"/>
      <c r="AA17" s="29"/>
      <c r="AB17" s="29"/>
    </row>
    <row r="18" spans="1:28" x14ac:dyDescent="0.35">
      <c r="A18" s="25" t="s">
        <v>26</v>
      </c>
      <c r="B18" s="22">
        <v>29</v>
      </c>
      <c r="C18" s="24">
        <v>81</v>
      </c>
      <c r="E18" t="str">
        <f t="shared" si="0"/>
        <v>Middle</v>
      </c>
      <c r="F18" s="20">
        <f t="shared" si="1"/>
        <v>52</v>
      </c>
    </row>
    <row r="19" spans="1:28" x14ac:dyDescent="0.35">
      <c r="A19" s="42" t="s">
        <v>26</v>
      </c>
      <c r="B19" s="34">
        <v>3</v>
      </c>
      <c r="C19" s="36">
        <v>54</v>
      </c>
      <c r="E19" t="str">
        <f t="shared" si="0"/>
        <v>Middle</v>
      </c>
      <c r="F19" s="20">
        <f t="shared" si="1"/>
        <v>51</v>
      </c>
    </row>
    <row r="20" spans="1:28" x14ac:dyDescent="0.35">
      <c r="A20" s="10" t="s">
        <v>41</v>
      </c>
      <c r="B20" s="22">
        <v>118</v>
      </c>
      <c r="C20" s="24">
        <v>124</v>
      </c>
      <c r="E20" t="str">
        <f t="shared" si="0"/>
        <v>Old</v>
      </c>
      <c r="F20" s="20">
        <f t="shared" si="1"/>
        <v>6</v>
      </c>
    </row>
    <row r="21" spans="1:28" x14ac:dyDescent="0.35">
      <c r="A21" s="25" t="s">
        <v>41</v>
      </c>
      <c r="B21" s="22">
        <v>83</v>
      </c>
      <c r="C21" s="24">
        <v>266</v>
      </c>
      <c r="E21" t="str">
        <f t="shared" si="0"/>
        <v>Old</v>
      </c>
      <c r="F21" s="20">
        <f t="shared" si="1"/>
        <v>183</v>
      </c>
    </row>
    <row r="22" spans="1:28" x14ac:dyDescent="0.35">
      <c r="A22" s="25" t="s">
        <v>41</v>
      </c>
      <c r="B22" s="22">
        <v>38</v>
      </c>
      <c r="C22" s="24">
        <v>207</v>
      </c>
      <c r="E22" t="str">
        <f t="shared" si="0"/>
        <v>Old</v>
      </c>
      <c r="F22" s="20">
        <f t="shared" si="1"/>
        <v>169</v>
      </c>
    </row>
    <row r="23" spans="1:28" x14ac:dyDescent="0.35">
      <c r="A23" s="25" t="s">
        <v>41</v>
      </c>
      <c r="B23" s="22">
        <v>71</v>
      </c>
      <c r="C23" s="24">
        <v>211</v>
      </c>
      <c r="E23" t="str">
        <f t="shared" si="0"/>
        <v>Old</v>
      </c>
      <c r="F23" s="20">
        <f t="shared" si="1"/>
        <v>140</v>
      </c>
    </row>
    <row r="24" spans="1:28" x14ac:dyDescent="0.35">
      <c r="A24" s="25" t="s">
        <v>41</v>
      </c>
      <c r="B24" s="22">
        <v>123</v>
      </c>
      <c r="C24" s="24">
        <v>331</v>
      </c>
      <c r="E24" t="str">
        <f t="shared" si="0"/>
        <v>Old</v>
      </c>
      <c r="F24" s="20">
        <f t="shared" si="1"/>
        <v>208</v>
      </c>
    </row>
    <row r="25" spans="1:28" x14ac:dyDescent="0.35">
      <c r="A25" s="25" t="s">
        <v>41</v>
      </c>
      <c r="B25" s="22">
        <v>71</v>
      </c>
      <c r="C25" s="24">
        <v>285</v>
      </c>
      <c r="E25" t="str">
        <f t="shared" si="0"/>
        <v>Old</v>
      </c>
      <c r="F25" s="20">
        <f t="shared" si="1"/>
        <v>214</v>
      </c>
    </row>
    <row r="26" spans="1:28" x14ac:dyDescent="0.35">
      <c r="A26" s="42" t="s">
        <v>41</v>
      </c>
      <c r="B26" s="34">
        <v>108</v>
      </c>
      <c r="C26" s="36">
        <v>247</v>
      </c>
      <c r="E26" t="str">
        <f t="shared" si="0"/>
        <v>Old</v>
      </c>
      <c r="F26" s="27">
        <f t="shared" si="1"/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Rep Meas 2</vt:lpstr>
      <vt:lpstr>Rep Meas 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2025-10-30T10:08:03Z</dcterms:created>
  <dcterms:modified xsi:type="dcterms:W3CDTF">2025-10-30T10:10:16Z</dcterms:modified>
</cp:coreProperties>
</file>