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053AEE44-2CF5-4CFD-A75B-0ADAC45DBA03}" xr6:coauthVersionLast="47" xr6:coauthVersionMax="47" xr10:uidLastSave="{AF11664F-3622-499F-8175-6AA869EDA3BC}"/>
  <bookViews>
    <workbookView xWindow="-110" yWindow="-110" windowWidth="19420" windowHeight="10300" xr2:uid="{499E9B69-F691-459E-9503-C841C118A0F0}"/>
  </bookViews>
  <sheets>
    <sheet name="Title" sheetId="4" r:id="rId1"/>
    <sheet name="Power 1" sheetId="1" r:id="rId2"/>
    <sheet name="Power 2" sheetId="2" r:id="rId3"/>
    <sheet name="Size" sheetId="3" r:id="rId4"/>
  </sheets>
  <externalReferences>
    <externalReference r:id="rId5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" l="1"/>
  <c r="P13" i="2"/>
  <c r="N13" i="1"/>
  <c r="D18" i="3"/>
  <c r="B18" i="3"/>
  <c r="D15" i="3"/>
  <c r="J14" i="3"/>
  <c r="H14" i="3"/>
  <c r="D14" i="3"/>
  <c r="B14" i="3"/>
  <c r="B15" i="3" s="1"/>
  <c r="J13" i="3"/>
  <c r="D13" i="3"/>
  <c r="J12" i="3"/>
  <c r="J11" i="3"/>
  <c r="J10" i="3"/>
  <c r="D10" i="3"/>
  <c r="J9" i="3"/>
  <c r="D9" i="3"/>
  <c r="J8" i="3"/>
  <c r="H8" i="3"/>
  <c r="H11" i="3" s="1"/>
  <c r="H13" i="3" s="1"/>
  <c r="D6" i="3"/>
  <c r="D5" i="3"/>
  <c r="D4" i="3"/>
  <c r="D3" i="3"/>
  <c r="W20" i="2"/>
  <c r="U20" i="2"/>
  <c r="W19" i="2"/>
  <c r="U19" i="2"/>
  <c r="R19" i="2"/>
  <c r="H19" i="2" a="1"/>
  <c r="I22" i="2" s="1"/>
  <c r="W18" i="2"/>
  <c r="U18" i="2"/>
  <c r="R18" i="2"/>
  <c r="R17" i="2"/>
  <c r="W16" i="2"/>
  <c r="W15" i="2"/>
  <c r="R15" i="2"/>
  <c r="W14" i="2"/>
  <c r="R14" i="2"/>
  <c r="P14" i="2"/>
  <c r="P15" i="2" s="1"/>
  <c r="W13" i="2"/>
  <c r="U13" i="2"/>
  <c r="R13" i="2"/>
  <c r="W12" i="2"/>
  <c r="U12" i="2"/>
  <c r="W11" i="2"/>
  <c r="R10" i="2"/>
  <c r="W9" i="2"/>
  <c r="R9" i="2"/>
  <c r="W8" i="2"/>
  <c r="R8" i="2"/>
  <c r="W7" i="2"/>
  <c r="W6" i="2"/>
  <c r="R6" i="2"/>
  <c r="W5" i="2"/>
  <c r="R5" i="2"/>
  <c r="W4" i="2"/>
  <c r="R4" i="2"/>
  <c r="W3" i="2"/>
  <c r="R3" i="2"/>
  <c r="P19" i="1"/>
  <c r="F19" i="1" a="1"/>
  <c r="F19" i="1" s="1"/>
  <c r="G14" i="1" s="1"/>
  <c r="P18" i="1"/>
  <c r="P17" i="1"/>
  <c r="P15" i="1"/>
  <c r="P14" i="1"/>
  <c r="N14" i="1"/>
  <c r="N15" i="1" s="1"/>
  <c r="P13" i="1"/>
  <c r="P10" i="1"/>
  <c r="P9" i="1"/>
  <c r="P8" i="1"/>
  <c r="P6" i="1"/>
  <c r="P5" i="1"/>
  <c r="P4" i="1"/>
  <c r="P3" i="1"/>
  <c r="H12" i="3"/>
  <c r="H9" i="3"/>
  <c r="B9" i="3"/>
  <c r="B10" i="3" s="1"/>
  <c r="B6" i="3"/>
  <c r="B5" i="3"/>
  <c r="G22" i="2"/>
  <c r="G21" i="2"/>
  <c r="G20" i="2"/>
  <c r="G20" i="2" a="1"/>
  <c r="I16" i="2"/>
  <c r="H14" i="2"/>
  <c r="U4" i="2" s="1"/>
  <c r="H10" i="2"/>
  <c r="H16" i="2" s="1"/>
  <c r="H15" i="2" s="1"/>
  <c r="U5" i="2" s="1"/>
  <c r="P4" i="2"/>
  <c r="P6" i="2" s="1"/>
  <c r="P3" i="2"/>
  <c r="E21" i="1"/>
  <c r="E20" i="1"/>
  <c r="E20" i="1" a="1"/>
  <c r="G16" i="1"/>
  <c r="F16" i="1"/>
  <c r="F15" i="1" s="1"/>
  <c r="F14" i="1"/>
  <c r="F10" i="1"/>
  <c r="N6" i="1"/>
  <c r="N4" i="1"/>
  <c r="N3" i="1"/>
  <c r="N5" i="1" s="1"/>
  <c r="G21" i="1" l="1"/>
  <c r="G19" i="1"/>
  <c r="J19" i="1" s="1"/>
  <c r="F20" i="1"/>
  <c r="G20" i="1"/>
  <c r="F21" i="1"/>
  <c r="J21" i="1" s="1"/>
  <c r="H20" i="2"/>
  <c r="I20" i="2"/>
  <c r="H21" i="2"/>
  <c r="H19" i="2"/>
  <c r="I14" i="2" s="1"/>
  <c r="I19" i="2"/>
  <c r="I21" i="2"/>
  <c r="H22" i="2"/>
  <c r="J22" i="2" s="1"/>
  <c r="K22" i="2" s="1"/>
  <c r="H10" i="3"/>
  <c r="U16" i="2"/>
  <c r="U8" i="2"/>
  <c r="U9" i="2"/>
  <c r="U15" i="2" s="1"/>
  <c r="K19" i="1"/>
  <c r="P5" i="2"/>
  <c r="J20" i="1" l="1"/>
  <c r="K20" i="1"/>
  <c r="H19" i="1"/>
  <c r="I19" i="1" s="1"/>
  <c r="M21" i="2"/>
  <c r="M22" i="2"/>
  <c r="L22" i="2"/>
  <c r="J21" i="2"/>
  <c r="K21" i="2" s="1"/>
  <c r="K21" i="1"/>
  <c r="L21" i="2"/>
  <c r="H21" i="1"/>
  <c r="I21" i="1" s="1"/>
  <c r="H20" i="1"/>
  <c r="I20" i="1" s="1"/>
  <c r="F7" i="1"/>
  <c r="N18" i="1"/>
  <c r="G15" i="1"/>
  <c r="H14" i="1"/>
  <c r="J19" i="2"/>
  <c r="K19" i="2" s="1"/>
  <c r="M19" i="2"/>
  <c r="L19" i="2"/>
  <c r="J20" i="2"/>
  <c r="K20" i="2" s="1"/>
  <c r="M20" i="2"/>
  <c r="L20" i="2"/>
  <c r="I15" i="2" l="1"/>
  <c r="P18" i="2"/>
  <c r="U6" i="2"/>
  <c r="J14" i="2"/>
  <c r="H7" i="2"/>
  <c r="N17" i="1"/>
  <c r="N19" i="1" s="1"/>
  <c r="H15" i="1"/>
  <c r="F9" i="1" s="1"/>
  <c r="F6" i="1"/>
  <c r="N8" i="1"/>
  <c r="N9" i="1" s="1"/>
  <c r="N10" i="1" s="1"/>
  <c r="F8" i="1"/>
  <c r="U14" i="2" l="1"/>
  <c r="U11" i="2" s="1"/>
  <c r="H6" i="2"/>
  <c r="P8" i="2"/>
  <c r="P9" i="2" s="1"/>
  <c r="P10" i="2" s="1"/>
  <c r="H8" i="2"/>
  <c r="P17" i="2"/>
  <c r="P19" i="2" s="1"/>
  <c r="J15" i="2"/>
  <c r="H9" i="2" s="1"/>
  <c r="U7" i="2"/>
  <c r="I14" i="1"/>
  <c r="J14" i="1" s="1"/>
  <c r="K14" i="1" s="1"/>
  <c r="K14" i="2" l="1"/>
  <c r="L14" i="2" l="1"/>
  <c r="M14" i="2" s="1"/>
  <c r="U3" i="2"/>
</calcChain>
</file>

<file path=xl/sharedStrings.xml><?xml version="1.0" encoding="utf-8"?>
<sst xmlns="http://schemas.openxmlformats.org/spreadsheetml/2006/main" count="188" uniqueCount="116">
  <si>
    <t>Multiple regression - Statistical Power</t>
  </si>
  <si>
    <t>Color</t>
  </si>
  <si>
    <t>Quality</t>
  </si>
  <si>
    <t>Price</t>
  </si>
  <si>
    <t>Regression Analysis</t>
  </si>
  <si>
    <t>n</t>
  </si>
  <si>
    <t>k</t>
  </si>
  <si>
    <t>OVERALL FIT</t>
  </si>
  <si>
    <t>dfRes</t>
  </si>
  <si>
    <t>Multiple R</t>
  </si>
  <si>
    <t>dfReg</t>
  </si>
  <si>
    <t>R Square</t>
  </si>
  <si>
    <t>Adjusted R Square</t>
  </si>
  <si>
    <t>R-square</t>
  </si>
  <si>
    <t>Standard Error</t>
  </si>
  <si>
    <t>f-square</t>
  </si>
  <si>
    <t>Observations</t>
  </si>
  <si>
    <t>λ</t>
  </si>
  <si>
    <t>ANOVA</t>
  </si>
  <si>
    <t>Alpha</t>
  </si>
  <si>
    <t>α</t>
  </si>
  <si>
    <t>df</t>
  </si>
  <si>
    <t>SS</t>
  </si>
  <si>
    <t>MS</t>
  </si>
  <si>
    <t>F</t>
  </si>
  <si>
    <t>p-value</t>
  </si>
  <si>
    <t>sig</t>
  </si>
  <si>
    <t>F-crit</t>
  </si>
  <si>
    <t>Regression</t>
  </si>
  <si>
    <t>β</t>
  </si>
  <si>
    <t>Residual</t>
  </si>
  <si>
    <t>1-β</t>
  </si>
  <si>
    <t>Total</t>
  </si>
  <si>
    <t>SSRes</t>
  </si>
  <si>
    <t>coeff</t>
  </si>
  <si>
    <t>std err</t>
  </si>
  <si>
    <t>t stat</t>
  </si>
  <si>
    <t>lower</t>
  </si>
  <si>
    <t>upper</t>
  </si>
  <si>
    <t>SSReg</t>
  </si>
  <si>
    <t>Intercept</t>
  </si>
  <si>
    <t>Multiple Regression - power</t>
  </si>
  <si>
    <t>Confidence interval of effect size and power</t>
  </si>
  <si>
    <t>Poverty</t>
  </si>
  <si>
    <t>Infant Mort</t>
  </si>
  <si>
    <t>White</t>
  </si>
  <si>
    <t>Crime</t>
  </si>
  <si>
    <t>Alabama</t>
  </si>
  <si>
    <t>Alaska</t>
  </si>
  <si>
    <t>Arizona</t>
  </si>
  <si>
    <t>Arkansas</t>
  </si>
  <si>
    <t>California</t>
  </si>
  <si>
    <t>Colorado</t>
  </si>
  <si>
    <t>Connecticut</t>
  </si>
  <si>
    <t>alpha</t>
  </si>
  <si>
    <t>Delaware</t>
  </si>
  <si>
    <t>Florida</t>
  </si>
  <si>
    <t>λ lower</t>
  </si>
  <si>
    <t>Georgia</t>
  </si>
  <si>
    <t>λ upper</t>
  </si>
  <si>
    <t>Hawaii</t>
  </si>
  <si>
    <t>R-sq</t>
  </si>
  <si>
    <t>Idaho</t>
  </si>
  <si>
    <t>R-sq lower</t>
  </si>
  <si>
    <t>Illinois</t>
  </si>
  <si>
    <t>R-sq upper</t>
  </si>
  <si>
    <t>Indiana</t>
  </si>
  <si>
    <t>Iowa</t>
  </si>
  <si>
    <r>
      <t>1-</t>
    </r>
    <r>
      <rPr>
        <sz val="11"/>
        <color theme="1"/>
        <rFont val="Calibri"/>
        <family val="2"/>
      </rPr>
      <t>β</t>
    </r>
  </si>
  <si>
    <t>Kansas</t>
  </si>
  <si>
    <r>
      <t>1-</t>
    </r>
    <r>
      <rPr>
        <sz val="11"/>
        <color theme="1"/>
        <rFont val="Calibri"/>
        <family val="2"/>
      </rPr>
      <t>β lower</t>
    </r>
  </si>
  <si>
    <t>Kentucky</t>
  </si>
  <si>
    <r>
      <t>1-</t>
    </r>
    <r>
      <rPr>
        <sz val="11"/>
        <color theme="1"/>
        <rFont val="Calibri"/>
        <family val="2"/>
      </rPr>
      <t>β upper</t>
    </r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</si>
  <si>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</si>
  <si>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</si>
  <si>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</si>
  <si>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</si>
  <si>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</si>
  <si>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</si>
  <si>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</si>
  <si>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</si>
  <si>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</si>
  <si>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</si>
  <si>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</si>
  <si>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</si>
  <si>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</si>
  <si>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</si>
  <si>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</si>
  <si>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</si>
  <si>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</si>
  <si>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</si>
  <si>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</si>
  <si>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</si>
  <si>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</si>
  <si>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</si>
  <si>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</si>
  <si>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</si>
  <si>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</si>
  <si>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</si>
  <si>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</si>
  <si>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</si>
  <si>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</si>
  <si>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</si>
  <si>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</si>
  <si>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</si>
  <si>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</si>
  <si>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Poverty - % below poverty level</t>
  </si>
  <si>
    <t>Infant Mort - infant mortality per 1,000 births, death prior to 1 yr, excludes fetal death, residents only</t>
  </si>
  <si>
    <t>White - % of the population that is white</t>
  </si>
  <si>
    <t>Crime - violent crime (murder, forcible rape, robbery, and aggravated assault) per 100,000 people</t>
  </si>
  <si>
    <t>Multiple Regression Power and Sample Size</t>
  </si>
  <si>
    <t>actual 1-β</t>
  </si>
  <si>
    <t>Real Statistics Using Excel</t>
  </si>
  <si>
    <t>Updated</t>
  </si>
  <si>
    <t>Copyright © 2013 - 2025 Charles Zaiontz</t>
  </si>
  <si>
    <t>Statistical Power and Sample Size for Multiple Regression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</si>
</sst>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ourier New"/>
      <family val="3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3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4" fillId="0" borderId="0" xfId="1" applyFont="1" applyAlignment="1">
      <alignment horizontal="right"/>
    </xf>
    <xf numFmtId="164" fontId="4" fillId="0" borderId="0" xfId="1" quotePrefix="1" applyNumberFormat="1" applyFont="1" applyAlignment="1">
      <alignment horizontal="right"/>
    </xf>
    <xf numFmtId="164" fontId="4" fillId="0" borderId="0" xfId="0" applyNumberFormat="1" applyFont="1"/>
    <xf numFmtId="3" fontId="4" fillId="0" borderId="0" xfId="1" applyNumberFormat="1" applyFont="1" applyAlignment="1">
      <alignment horizontal="right" wrapText="1"/>
    </xf>
    <xf numFmtId="165" fontId="4" fillId="0" borderId="0" xfId="1" applyNumberFormat="1" applyFont="1" applyAlignment="1">
      <alignment horizontal="right"/>
    </xf>
    <xf numFmtId="0" fontId="2" fillId="0" borderId="0" xfId="0" applyFont="1" applyAlignment="1">
      <alignment horizontal="left"/>
    </xf>
    <xf numFmtId="164" fontId="4" fillId="0" borderId="0" xfId="1" applyNumberFormat="1" applyFont="1" applyAlignment="1">
      <alignment horizontal="right"/>
    </xf>
    <xf numFmtId="0" fontId="4" fillId="0" borderId="6" xfId="0" applyFont="1" applyBorder="1"/>
    <xf numFmtId="0" fontId="4" fillId="0" borderId="6" xfId="1" applyFont="1" applyBorder="1" applyAlignment="1">
      <alignment horizontal="right"/>
    </xf>
    <xf numFmtId="164" fontId="4" fillId="0" borderId="6" xfId="1" quotePrefix="1" applyNumberFormat="1" applyFont="1" applyBorder="1" applyAlignment="1">
      <alignment horizontal="right"/>
    </xf>
    <xf numFmtId="164" fontId="4" fillId="0" borderId="6" xfId="0" applyNumberFormat="1" applyFont="1" applyBorder="1"/>
    <xf numFmtId="3" fontId="4" fillId="0" borderId="6" xfId="1" applyNumberFormat="1" applyFont="1" applyBorder="1" applyAlignment="1">
      <alignment horizontal="right" wrapText="1"/>
    </xf>
    <xf numFmtId="0" fontId="0" fillId="0" borderId="8" xfId="0" applyBorder="1"/>
    <xf numFmtId="15" fontId="0" fillId="0" borderId="0" xfId="0" applyNumberFormat="1"/>
    <xf numFmtId="0" fontId="6" fillId="0" borderId="0" xfId="0" applyFont="1"/>
  </cellXfs>
  <cellStyles count="2">
    <cellStyle name="Normal" xfId="0" builtinId="0"/>
    <cellStyle name="Normal 2" xfId="1" xr:uid="{0F28C48E-84C7-496E-9758-7B74441B97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7CEC-25AD-4F2F-92C7-57DBEF23F8CF}"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112</v>
      </c>
    </row>
    <row r="2" spans="1:2" x14ac:dyDescent="0.35">
      <c r="A2" t="s">
        <v>115</v>
      </c>
    </row>
    <row r="4" spans="1:2" x14ac:dyDescent="0.35">
      <c r="A4" t="s">
        <v>113</v>
      </c>
      <c r="B4" s="29">
        <v>45945</v>
      </c>
    </row>
    <row r="6" spans="1:2" x14ac:dyDescent="0.35">
      <c r="A6" s="30" t="s">
        <v>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3EB42-7C2A-4C76-BC39-372952C112FB}">
  <dimension ref="A1:P21"/>
  <sheetViews>
    <sheetView workbookViewId="0"/>
  </sheetViews>
  <sheetFormatPr defaultRowHeight="14.5" x14ac:dyDescent="0.35"/>
  <cols>
    <col min="5" max="5" width="16.81640625" customWidth="1"/>
    <col min="14" max="14" width="9.1796875" customWidth="1"/>
    <col min="15" max="15" width="3.26953125" customWidth="1"/>
    <col min="16" max="16" width="29.81640625" customWidth="1"/>
  </cols>
  <sheetData>
    <row r="1" spans="1:16" s="1" customFormat="1" x14ac:dyDescent="0.35">
      <c r="A1" s="1" t="s">
        <v>0</v>
      </c>
    </row>
    <row r="3" spans="1:16" x14ac:dyDescent="0.35">
      <c r="A3" s="2" t="s">
        <v>1</v>
      </c>
      <c r="B3" s="2" t="s">
        <v>2</v>
      </c>
      <c r="C3" s="2" t="s">
        <v>3</v>
      </c>
      <c r="E3" t="s">
        <v>4</v>
      </c>
      <c r="M3" t="s">
        <v>5</v>
      </c>
      <c r="N3" s="3">
        <f>COUNT(A4:A14)</f>
        <v>11</v>
      </c>
      <c r="P3" t="e">
        <f ca="1">FTEXT(N3)</f>
        <v>#NAME?</v>
      </c>
    </row>
    <row r="4" spans="1:16" x14ac:dyDescent="0.35">
      <c r="A4" s="4">
        <v>7</v>
      </c>
      <c r="B4" s="4">
        <v>5</v>
      </c>
      <c r="C4" s="4">
        <v>65</v>
      </c>
      <c r="M4" t="s">
        <v>6</v>
      </c>
      <c r="N4" s="5">
        <f>COUNTA(A3:B3)</f>
        <v>2</v>
      </c>
      <c r="P4" t="e">
        <f ca="1">FTEXT(N4)</f>
        <v>#NAME?</v>
      </c>
    </row>
    <row r="5" spans="1:16" ht="15" thickBot="1" x14ac:dyDescent="0.4">
      <c r="A5" s="4">
        <v>3</v>
      </c>
      <c r="B5" s="4">
        <v>7</v>
      </c>
      <c r="C5" s="4">
        <v>38</v>
      </c>
      <c r="E5" s="6" t="s">
        <v>7</v>
      </c>
      <c r="F5" s="6"/>
      <c r="M5" t="s">
        <v>8</v>
      </c>
      <c r="N5" s="5">
        <f>N3-N4-1</f>
        <v>8</v>
      </c>
      <c r="P5" t="e">
        <f ca="1">FTEXT(N5)</f>
        <v>#NAME?</v>
      </c>
    </row>
    <row r="6" spans="1:16" ht="15" thickTop="1" x14ac:dyDescent="0.35">
      <c r="A6" s="4">
        <v>5</v>
      </c>
      <c r="B6" s="4">
        <v>8</v>
      </c>
      <c r="C6" s="4">
        <v>51</v>
      </c>
      <c r="E6" t="s">
        <v>9</v>
      </c>
      <c r="F6" t="e">
        <f ca="1">SQRT(F7)</f>
        <v>#NAME?</v>
      </c>
      <c r="M6" t="s">
        <v>10</v>
      </c>
      <c r="N6" s="7">
        <f>N4</f>
        <v>2</v>
      </c>
      <c r="P6" t="e">
        <f ca="1">FTEXT(N6)</f>
        <v>#NAME?</v>
      </c>
    </row>
    <row r="7" spans="1:16" x14ac:dyDescent="0.35">
      <c r="A7" s="4">
        <v>8</v>
      </c>
      <c r="B7" s="4">
        <v>1</v>
      </c>
      <c r="C7" s="4">
        <v>38</v>
      </c>
      <c r="E7" t="s">
        <v>11</v>
      </c>
      <c r="F7" t="e">
        <f ca="1">G14/G16</f>
        <v>#NAME?</v>
      </c>
    </row>
    <row r="8" spans="1:16" x14ac:dyDescent="0.35">
      <c r="A8" s="4">
        <v>9</v>
      </c>
      <c r="B8" s="4">
        <v>3</v>
      </c>
      <c r="C8" s="4">
        <v>55</v>
      </c>
      <c r="E8" t="s">
        <v>12</v>
      </c>
      <c r="F8" t="e">
        <f ca="1">1-(1-F7)*(F10-1)/(F10-F14-1)</f>
        <v>#NAME?</v>
      </c>
      <c r="M8" t="s">
        <v>13</v>
      </c>
      <c r="N8" s="3" t="e">
        <f ca="1">F7</f>
        <v>#NAME?</v>
      </c>
      <c r="P8" t="e">
        <f ca="1">FTEXT(N8)</f>
        <v>#NAME?</v>
      </c>
    </row>
    <row r="9" spans="1:16" x14ac:dyDescent="0.35">
      <c r="A9" s="4">
        <v>5</v>
      </c>
      <c r="B9" s="4">
        <v>4</v>
      </c>
      <c r="C9" s="4">
        <v>43</v>
      </c>
      <c r="E9" t="s">
        <v>14</v>
      </c>
      <c r="F9" t="e">
        <f ca="1">SQRT(H15)</f>
        <v>#NAME?</v>
      </c>
      <c r="M9" t="s">
        <v>15</v>
      </c>
      <c r="N9" s="5" t="e">
        <f ca="1">N8/(1-N8)</f>
        <v>#NAME?</v>
      </c>
      <c r="P9" t="e">
        <f ca="1">FTEXT(N9)</f>
        <v>#NAME?</v>
      </c>
    </row>
    <row r="10" spans="1:16" x14ac:dyDescent="0.35">
      <c r="A10" s="4">
        <v>4</v>
      </c>
      <c r="B10" s="4">
        <v>0</v>
      </c>
      <c r="C10" s="4">
        <v>25</v>
      </c>
      <c r="E10" s="8" t="s">
        <v>16</v>
      </c>
      <c r="F10" s="8">
        <f>COUNT(C4:C14)</f>
        <v>11</v>
      </c>
      <c r="M10" s="9" t="s">
        <v>17</v>
      </c>
      <c r="N10" s="7" t="e">
        <f ca="1">N9*N3</f>
        <v>#NAME?</v>
      </c>
      <c r="P10" t="e">
        <f ca="1">FTEXT(N10)</f>
        <v>#NAME?</v>
      </c>
    </row>
    <row r="11" spans="1:16" x14ac:dyDescent="0.35">
      <c r="A11" s="4">
        <v>2</v>
      </c>
      <c r="B11" s="4">
        <v>6</v>
      </c>
      <c r="C11" s="4">
        <v>33</v>
      </c>
    </row>
    <row r="12" spans="1:16" ht="15" thickBot="1" x14ac:dyDescent="0.4">
      <c r="A12" s="4">
        <v>8</v>
      </c>
      <c r="B12" s="4">
        <v>7</v>
      </c>
      <c r="C12" s="4">
        <v>71</v>
      </c>
      <c r="E12" t="s">
        <v>18</v>
      </c>
      <c r="I12" s="4" t="s">
        <v>19</v>
      </c>
      <c r="J12" s="4">
        <v>0.05</v>
      </c>
      <c r="M12" s="9" t="s">
        <v>20</v>
      </c>
      <c r="N12" s="3">
        <v>0.05</v>
      </c>
    </row>
    <row r="13" spans="1:16" ht="15" thickTop="1" x14ac:dyDescent="0.35">
      <c r="A13" s="4">
        <v>6</v>
      </c>
      <c r="B13" s="4">
        <v>4</v>
      </c>
      <c r="C13" s="4">
        <v>51</v>
      </c>
      <c r="E13" s="10"/>
      <c r="F13" s="10" t="s">
        <v>21</v>
      </c>
      <c r="G13" s="10" t="s">
        <v>22</v>
      </c>
      <c r="H13" s="10" t="s">
        <v>23</v>
      </c>
      <c r="I13" s="10" t="s">
        <v>24</v>
      </c>
      <c r="J13" s="10" t="s">
        <v>25</v>
      </c>
      <c r="K13" s="10" t="s">
        <v>26</v>
      </c>
      <c r="M13" s="9" t="s">
        <v>27</v>
      </c>
      <c r="N13" s="5">
        <f>_xlfn.F.INV.RT(N12,N6,N5)</f>
        <v>4.4589701075245118</v>
      </c>
      <c r="P13" t="e">
        <f ca="1">FTEXT(N13)</f>
        <v>#NAME?</v>
      </c>
    </row>
    <row r="14" spans="1:16" x14ac:dyDescent="0.35">
      <c r="A14" s="11">
        <v>9</v>
      </c>
      <c r="B14" s="11">
        <v>2</v>
      </c>
      <c r="C14" s="11">
        <v>49</v>
      </c>
      <c r="E14" t="s">
        <v>28</v>
      </c>
      <c r="F14">
        <f>COUNT(A4:B4)</f>
        <v>2</v>
      </c>
      <c r="G14" t="e">
        <f ca="1">DEVSQ(MMULT(DEsign(A4:B14),F19:F21))</f>
        <v>#NAME?</v>
      </c>
      <c r="H14" t="e">
        <f ca="1">G14/F14</f>
        <v>#NAME?</v>
      </c>
      <c r="I14" t="e">
        <f ca="1">H14/H15</f>
        <v>#NAME?</v>
      </c>
      <c r="J14" t="e">
        <f ca="1">FDIST(I14,F14,F15)</f>
        <v>#NAME?</v>
      </c>
      <c r="K14" s="4" t="e">
        <f ca="1">IF(J14&lt;J12,"yes","no")</f>
        <v>#NAME?</v>
      </c>
      <c r="M14" s="9" t="s">
        <v>29</v>
      </c>
      <c r="N14" s="5" t="e">
        <f ca="1">NF_DIST(N13,N6,N5,N10,TRUE)</f>
        <v>#NAME?</v>
      </c>
      <c r="P14" t="e">
        <f ca="1">FTEXT(N14)</f>
        <v>#NAME?</v>
      </c>
    </row>
    <row r="15" spans="1:16" x14ac:dyDescent="0.35">
      <c r="E15" t="s">
        <v>30</v>
      </c>
      <c r="F15">
        <f>F16-F14</f>
        <v>8</v>
      </c>
      <c r="G15" t="e">
        <f ca="1">G16-G14</f>
        <v>#NAME?</v>
      </c>
      <c r="H15" t="e">
        <f ca="1">G15/F15</f>
        <v>#NAME?</v>
      </c>
      <c r="M15" s="9" t="s">
        <v>31</v>
      </c>
      <c r="N15" s="7" t="e">
        <f ca="1">1-N14</f>
        <v>#NAME?</v>
      </c>
      <c r="P15" t="e">
        <f ca="1">FTEXT(N15)</f>
        <v>#NAME?</v>
      </c>
    </row>
    <row r="16" spans="1:16" x14ac:dyDescent="0.35">
      <c r="E16" s="8" t="s">
        <v>32</v>
      </c>
      <c r="F16" s="8">
        <f>F10-1</f>
        <v>10</v>
      </c>
      <c r="G16" s="8">
        <f>DEVSQ(C4:C14)</f>
        <v>1857.6363636363633</v>
      </c>
      <c r="H16" s="8"/>
      <c r="I16" s="8"/>
      <c r="J16" s="8"/>
      <c r="K16" s="8"/>
    </row>
    <row r="17" spans="5:16" ht="15" thickBot="1" x14ac:dyDescent="0.4">
      <c r="M17" t="s">
        <v>33</v>
      </c>
      <c r="N17" s="3" t="e">
        <f ca="1">G15</f>
        <v>#NAME?</v>
      </c>
      <c r="P17" t="e">
        <f ca="1">FTEXT(N17)</f>
        <v>#NAME?</v>
      </c>
    </row>
    <row r="18" spans="5:16" ht="15" thickTop="1" x14ac:dyDescent="0.35">
      <c r="E18" s="10"/>
      <c r="F18" s="10" t="s">
        <v>34</v>
      </c>
      <c r="G18" s="10" t="s">
        <v>35</v>
      </c>
      <c r="H18" s="10" t="s">
        <v>36</v>
      </c>
      <c r="I18" s="10" t="s">
        <v>25</v>
      </c>
      <c r="J18" s="10" t="s">
        <v>37</v>
      </c>
      <c r="K18" s="10" t="s">
        <v>38</v>
      </c>
      <c r="M18" s="12" t="s">
        <v>39</v>
      </c>
      <c r="N18" s="5" t="e">
        <f ca="1">G14</f>
        <v>#NAME?</v>
      </c>
      <c r="P18" t="e">
        <f ca="1">FTEXT(N18)</f>
        <v>#NAME?</v>
      </c>
    </row>
    <row r="19" spans="5:16" x14ac:dyDescent="0.35">
      <c r="E19" t="s">
        <v>40</v>
      </c>
      <c r="F19" t="e">
        <f t="array" aca="1" ref="F19:G21" ca="1">RegCoeff(A4:B14,C4:C14)</f>
        <v>#NAME?</v>
      </c>
      <c r="G19" t="e">
        <f ca="1"/>
        <v>#NAME?</v>
      </c>
      <c r="H19" t="e">
        <f ca="1">F19/G19</f>
        <v>#NAME?</v>
      </c>
      <c r="I19" t="e">
        <f ca="1">TDIST(ABS(H19),$F$15,2)</f>
        <v>#NAME?</v>
      </c>
      <c r="J19" t="e">
        <f ca="1">F19-TINV(J$12,$F$15)*G19</f>
        <v>#NAME?</v>
      </c>
      <c r="K19" t="e">
        <f ca="1">F19+TINV(J$12,$F$15)*G19</f>
        <v>#NAME?</v>
      </c>
      <c r="M19" t="s">
        <v>15</v>
      </c>
      <c r="N19" s="7" t="e">
        <f ca="1">N18/N17</f>
        <v>#NAME?</v>
      </c>
      <c r="P19" t="e">
        <f ca="1">FTEXT(N19)</f>
        <v>#NAME?</v>
      </c>
    </row>
    <row r="20" spans="5:16" x14ac:dyDescent="0.35">
      <c r="E20" t="str">
        <f t="array" ref="E20:E21">TRANSPOSE(A3:B3)</f>
        <v>Color</v>
      </c>
      <c r="F20" t="e">
        <f ca="1"/>
        <v>#NAME?</v>
      </c>
      <c r="G20" t="e">
        <f ca="1"/>
        <v>#NAME?</v>
      </c>
      <c r="H20" t="e">
        <f ca="1">F20/G20</f>
        <v>#NAME?</v>
      </c>
      <c r="I20" t="e">
        <f ca="1">TDIST(ABS(H20),$F$15,2)</f>
        <v>#NAME?</v>
      </c>
      <c r="J20" t="e">
        <f ca="1">F20-TINV(J$12,$F$15)*G20</f>
        <v>#NAME?</v>
      </c>
      <c r="K20" t="e">
        <f ca="1">F20+TINV(J$12,$F$15)*G20</f>
        <v>#NAME?</v>
      </c>
    </row>
    <row r="21" spans="5:16" x14ac:dyDescent="0.35">
      <c r="E21" s="8" t="str">
        <v>Quality</v>
      </c>
      <c r="F21" s="8" t="e">
        <f ca="1"/>
        <v>#NAME?</v>
      </c>
      <c r="G21" s="8" t="e">
        <f ca="1"/>
        <v>#NAME?</v>
      </c>
      <c r="H21" s="8" t="e">
        <f ca="1">F21/G21</f>
        <v>#NAME?</v>
      </c>
      <c r="I21" s="8" t="e">
        <f ca="1">TDIST(ABS(H21),$F$15,2)</f>
        <v>#NAME?</v>
      </c>
      <c r="J21" s="8" t="e">
        <f ca="1">F21-TINV(J$12,$F$15)*G21</f>
        <v>#NAME?</v>
      </c>
      <c r="K21" s="8" t="e">
        <f ca="1">F21+TINV(J$12,$F$15)*G21</f>
        <v>#NAME?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93C6F-8C1E-4090-B2E0-D73E58B3045D}">
  <dimension ref="A1:W58"/>
  <sheetViews>
    <sheetView workbookViewId="0"/>
  </sheetViews>
  <sheetFormatPr defaultRowHeight="14.5" x14ac:dyDescent="0.35"/>
  <cols>
    <col min="1" max="1" width="13.1796875" customWidth="1"/>
    <col min="2" max="2" width="8.7265625" customWidth="1"/>
    <col min="3" max="5" width="10.26953125" customWidth="1"/>
    <col min="6" max="6" width="5" customWidth="1"/>
    <col min="7" max="7" width="17.7265625" customWidth="1"/>
    <col min="10" max="12" width="9.26953125" bestFit="1" customWidth="1"/>
    <col min="13" max="13" width="9.26953125" customWidth="1"/>
    <col min="14" max="14" width="6.54296875" customWidth="1"/>
    <col min="17" max="17" width="3" customWidth="1"/>
    <col min="18" max="18" width="28.26953125" customWidth="1"/>
    <col min="20" max="20" width="11.453125" customWidth="1"/>
    <col min="22" max="22" width="3.1796875" customWidth="1"/>
    <col min="25" max="25" width="10.54296875" customWidth="1"/>
  </cols>
  <sheetData>
    <row r="1" spans="1:23" x14ac:dyDescent="0.35">
      <c r="A1" s="1" t="s">
        <v>41</v>
      </c>
      <c r="T1" t="s">
        <v>42</v>
      </c>
    </row>
    <row r="3" spans="1:23" x14ac:dyDescent="0.35">
      <c r="A3" s="13"/>
      <c r="B3" s="14" t="s">
        <v>43</v>
      </c>
      <c r="C3" s="14" t="s">
        <v>44</v>
      </c>
      <c r="D3" s="14" t="s">
        <v>45</v>
      </c>
      <c r="E3" s="14" t="s">
        <v>46</v>
      </c>
      <c r="G3" t="s">
        <v>4</v>
      </c>
      <c r="O3" t="s">
        <v>5</v>
      </c>
      <c r="P3" s="3">
        <f>COUNT(B4:B53)</f>
        <v>50</v>
      </c>
      <c r="R3" t="e">
        <f ca="1">FTEXT(P3)</f>
        <v>#NAME?</v>
      </c>
      <c r="T3" s="9" t="s">
        <v>24</v>
      </c>
      <c r="U3" s="3" t="e">
        <f ca="1">K14</f>
        <v>#NAME?</v>
      </c>
      <c r="W3" t="e">
        <f ca="1">FTEXT(U3)</f>
        <v>#NAME?</v>
      </c>
    </row>
    <row r="4" spans="1:23" x14ac:dyDescent="0.35">
      <c r="A4" s="15" t="s">
        <v>47</v>
      </c>
      <c r="B4" s="16">
        <v>15.7</v>
      </c>
      <c r="C4" s="17">
        <v>9</v>
      </c>
      <c r="D4" s="18">
        <v>71.027177760140717</v>
      </c>
      <c r="E4" s="19">
        <v>448</v>
      </c>
      <c r="O4" t="s">
        <v>6</v>
      </c>
      <c r="P4" s="5">
        <f>COUNTA(C3:E3)</f>
        <v>3</v>
      </c>
      <c r="R4" t="e">
        <f ca="1">FTEXT(P4)</f>
        <v>#NAME?</v>
      </c>
      <c r="T4" s="12" t="s">
        <v>10</v>
      </c>
      <c r="U4" s="5">
        <f>H14</f>
        <v>3</v>
      </c>
      <c r="W4" t="e">
        <f ca="1">FTEXT(U4)</f>
        <v>#NAME?</v>
      </c>
    </row>
    <row r="5" spans="1:23" ht="15" thickBot="1" x14ac:dyDescent="0.4">
      <c r="A5" s="15" t="s">
        <v>48</v>
      </c>
      <c r="B5" s="16">
        <v>8.4</v>
      </c>
      <c r="C5" s="17">
        <v>6.9</v>
      </c>
      <c r="D5" s="18">
        <v>70.62318863808899</v>
      </c>
      <c r="E5" s="19">
        <v>661.2</v>
      </c>
      <c r="G5" s="6" t="s">
        <v>7</v>
      </c>
      <c r="H5" s="6"/>
      <c r="O5" t="s">
        <v>8</v>
      </c>
      <c r="P5" s="5">
        <f>P3-P4-1</f>
        <v>46</v>
      </c>
      <c r="R5" t="e">
        <f ca="1">FTEXT(P5)</f>
        <v>#NAME?</v>
      </c>
      <c r="T5" s="9" t="s">
        <v>8</v>
      </c>
      <c r="U5" s="5">
        <f>H15</f>
        <v>46</v>
      </c>
      <c r="W5" t="e">
        <f ca="1">FTEXT(U5)</f>
        <v>#NAME?</v>
      </c>
    </row>
    <row r="6" spans="1:23" ht="15" thickTop="1" x14ac:dyDescent="0.35">
      <c r="A6" s="15" t="s">
        <v>49</v>
      </c>
      <c r="B6" s="16">
        <v>14.7</v>
      </c>
      <c r="C6" s="17">
        <v>6.4</v>
      </c>
      <c r="D6" s="18">
        <v>86.505696765320337</v>
      </c>
      <c r="E6" s="19">
        <v>482.7</v>
      </c>
      <c r="G6" t="s">
        <v>9</v>
      </c>
      <c r="H6" t="e">
        <f ca="1">SQRT(H7)</f>
        <v>#NAME?</v>
      </c>
      <c r="O6" t="s">
        <v>10</v>
      </c>
      <c r="P6" s="7">
        <f>P4</f>
        <v>3</v>
      </c>
      <c r="R6" t="e">
        <f ca="1">FTEXT(P6)</f>
        <v>#NAME?</v>
      </c>
      <c r="T6" s="9" t="s">
        <v>39</v>
      </c>
      <c r="U6" s="5" t="e">
        <f ca="1">I14</f>
        <v>#NAME?</v>
      </c>
      <c r="W6" t="e">
        <f ca="1">FTEXT(U6)</f>
        <v>#NAME?</v>
      </c>
    </row>
    <row r="7" spans="1:23" x14ac:dyDescent="0.35">
      <c r="A7" s="15" t="s">
        <v>50</v>
      </c>
      <c r="B7" s="16">
        <v>17.3</v>
      </c>
      <c r="C7" s="17">
        <v>8.5</v>
      </c>
      <c r="D7" s="18">
        <v>80.783955956979611</v>
      </c>
      <c r="E7" s="19">
        <v>529.4</v>
      </c>
      <c r="G7" t="s">
        <v>11</v>
      </c>
      <c r="H7" t="e">
        <f ca="1">I14/I16</f>
        <v>#NAME?</v>
      </c>
      <c r="T7" s="9" t="s">
        <v>33</v>
      </c>
      <c r="U7" s="5" t="e">
        <f ca="1">I15</f>
        <v>#NAME?</v>
      </c>
      <c r="W7" t="e">
        <f ca="1">FTEXT(U7)</f>
        <v>#NAME?</v>
      </c>
    </row>
    <row r="8" spans="1:23" x14ac:dyDescent="0.35">
      <c r="A8" s="15" t="s">
        <v>51</v>
      </c>
      <c r="B8" s="16">
        <v>13.3</v>
      </c>
      <c r="C8" s="17">
        <v>5</v>
      </c>
      <c r="D8" s="18">
        <v>76.640052174481781</v>
      </c>
      <c r="E8" s="19">
        <v>522.6</v>
      </c>
      <c r="G8" t="s">
        <v>12</v>
      </c>
      <c r="H8" t="e">
        <f ca="1">1-(1-H7)*(H10-1)/(H10-H14-1)</f>
        <v>#NAME?</v>
      </c>
      <c r="O8" t="s">
        <v>13</v>
      </c>
      <c r="P8" s="3" t="e">
        <f ca="1">H7</f>
        <v>#NAME?</v>
      </c>
      <c r="R8" t="e">
        <f ca="1">FTEXT(P8)</f>
        <v>#NAME?</v>
      </c>
      <c r="T8" s="9" t="s">
        <v>6</v>
      </c>
      <c r="U8" s="5">
        <f>U4</f>
        <v>3</v>
      </c>
      <c r="W8" t="e">
        <f ca="1">FTEXT(U8)</f>
        <v>#NAME?</v>
      </c>
    </row>
    <row r="9" spans="1:23" x14ac:dyDescent="0.35">
      <c r="A9" s="15" t="s">
        <v>52</v>
      </c>
      <c r="B9" s="16">
        <v>11.4</v>
      </c>
      <c r="C9" s="17">
        <v>5.7</v>
      </c>
      <c r="D9" s="18">
        <v>89.734092175332663</v>
      </c>
      <c r="E9" s="19">
        <v>347.8</v>
      </c>
      <c r="G9" t="s">
        <v>14</v>
      </c>
      <c r="H9" t="e">
        <f ca="1">SQRT(J15)</f>
        <v>#NAME?</v>
      </c>
      <c r="O9" t="s">
        <v>15</v>
      </c>
      <c r="P9" s="5" t="e">
        <f ca="1">P8/(1-P8)</f>
        <v>#NAME?</v>
      </c>
      <c r="R9" t="e">
        <f ca="1">FTEXT(P9)</f>
        <v>#NAME?</v>
      </c>
      <c r="T9" t="s">
        <v>5</v>
      </c>
      <c r="U9" s="5">
        <f>U4+U5+1</f>
        <v>50</v>
      </c>
      <c r="W9" t="e">
        <f ca="1">FTEXT(U9)</f>
        <v>#NAME?</v>
      </c>
    </row>
    <row r="10" spans="1:23" x14ac:dyDescent="0.35">
      <c r="A10" s="15" t="s">
        <v>53</v>
      </c>
      <c r="B10" s="16">
        <v>9.3000000000000007</v>
      </c>
      <c r="C10" s="17">
        <v>6.2</v>
      </c>
      <c r="D10" s="18">
        <v>84.278652322083644</v>
      </c>
      <c r="E10" s="19">
        <v>256</v>
      </c>
      <c r="G10" s="8" t="s">
        <v>16</v>
      </c>
      <c r="H10" s="8">
        <f>COUNT(B4:B53)</f>
        <v>50</v>
      </c>
      <c r="O10" s="9" t="s">
        <v>17</v>
      </c>
      <c r="P10" s="7" t="e">
        <f ca="1">P9*P3</f>
        <v>#NAME?</v>
      </c>
      <c r="R10" t="e">
        <f ca="1">FTEXT(P10)</f>
        <v>#NAME?</v>
      </c>
      <c r="T10" t="s">
        <v>54</v>
      </c>
      <c r="U10" s="3">
        <v>0.05</v>
      </c>
    </row>
    <row r="11" spans="1:23" x14ac:dyDescent="0.35">
      <c r="A11" s="15" t="s">
        <v>55</v>
      </c>
      <c r="B11" s="20">
        <v>10</v>
      </c>
      <c r="C11" s="17">
        <v>8.3000000000000007</v>
      </c>
      <c r="D11" s="18">
        <v>74.266056727126113</v>
      </c>
      <c r="E11" s="19">
        <v>689.2</v>
      </c>
      <c r="T11" s="21" t="s">
        <v>17</v>
      </c>
      <c r="U11" s="5" t="e">
        <f ca="1">U14*U9/(1-U14)</f>
        <v>#NAME?</v>
      </c>
      <c r="W11" t="e">
        <f ca="1">FTEXT(U11)</f>
        <v>#NAME?</v>
      </c>
    </row>
    <row r="12" spans="1:23" ht="15" thickBot="1" x14ac:dyDescent="0.4">
      <c r="A12" s="15" t="s">
        <v>56</v>
      </c>
      <c r="B12" s="16">
        <v>13.2</v>
      </c>
      <c r="C12" s="17">
        <v>7.3</v>
      </c>
      <c r="D12" s="18">
        <v>79.811068541941054</v>
      </c>
      <c r="E12" s="19">
        <v>722.6</v>
      </c>
      <c r="G12" t="s">
        <v>18</v>
      </c>
      <c r="K12" s="4" t="s">
        <v>19</v>
      </c>
      <c r="L12" s="4">
        <v>0.05</v>
      </c>
      <c r="O12" s="9" t="s">
        <v>20</v>
      </c>
      <c r="P12" s="3">
        <v>0.05</v>
      </c>
      <c r="T12" s="21" t="s">
        <v>57</v>
      </c>
      <c r="U12" s="5" t="e">
        <f ca="1">NF_NCP(1-U10/2,U4,U5,U3)</f>
        <v>#NAME?</v>
      </c>
      <c r="W12" t="e">
        <f ca="1">FTEXT(U12)</f>
        <v>#NAME?</v>
      </c>
    </row>
    <row r="13" spans="1:23" ht="15" thickTop="1" x14ac:dyDescent="0.35">
      <c r="A13" s="15" t="s">
        <v>58</v>
      </c>
      <c r="B13" s="16">
        <v>14.7</v>
      </c>
      <c r="C13" s="17">
        <v>8.1</v>
      </c>
      <c r="D13" s="18">
        <v>65.387718279566343</v>
      </c>
      <c r="E13" s="19">
        <v>493.2</v>
      </c>
      <c r="G13" s="10"/>
      <c r="H13" s="10" t="s">
        <v>21</v>
      </c>
      <c r="I13" s="10" t="s">
        <v>22</v>
      </c>
      <c r="J13" s="10" t="s">
        <v>23</v>
      </c>
      <c r="K13" s="10" t="s">
        <v>24</v>
      </c>
      <c r="L13" s="10" t="s">
        <v>25</v>
      </c>
      <c r="M13" s="10" t="s">
        <v>26</v>
      </c>
      <c r="O13" s="9" t="s">
        <v>27</v>
      </c>
      <c r="P13" s="5">
        <f>_xlfn.F.INV.RT(P12,P6,P5)</f>
        <v>2.8068449288062536</v>
      </c>
      <c r="R13" t="e">
        <f ca="1">FTEXT(P13)</f>
        <v>#NAME?</v>
      </c>
      <c r="T13" s="21" t="s">
        <v>59</v>
      </c>
      <c r="U13" s="7" t="e">
        <f ca="1">NF_NCP(U10/2,U4,U5,U3)</f>
        <v>#NAME?</v>
      </c>
      <c r="W13" t="e">
        <f ca="1">FTEXT(U13)</f>
        <v>#NAME?</v>
      </c>
    </row>
    <row r="14" spans="1:23" x14ac:dyDescent="0.35">
      <c r="A14" s="15" t="s">
        <v>60</v>
      </c>
      <c r="B14" s="16">
        <v>9.1</v>
      </c>
      <c r="C14" s="17">
        <v>5.6</v>
      </c>
      <c r="D14" s="18">
        <v>29.667333748383395</v>
      </c>
      <c r="E14" s="19">
        <v>272.8</v>
      </c>
      <c r="G14" t="s">
        <v>28</v>
      </c>
      <c r="H14">
        <f>COUNT(C4:E4)</f>
        <v>3</v>
      </c>
      <c r="I14" t="e">
        <f ca="1">DEVSQ(MMULT(DEsign(C4:E53),H19:H22))</f>
        <v>#NAME?</v>
      </c>
      <c r="J14" t="e">
        <f ca="1">I14/H14</f>
        <v>#NAME?</v>
      </c>
      <c r="K14" t="e">
        <f ca="1">J14/J15</f>
        <v>#NAME?</v>
      </c>
      <c r="L14" t="e">
        <f ca="1">FDIST(K14,H14,H15)</f>
        <v>#NAME?</v>
      </c>
      <c r="M14" s="4" t="e">
        <f ca="1">IF(L14&lt;L12,"yes","no")</f>
        <v>#NAME?</v>
      </c>
      <c r="O14" s="9" t="s">
        <v>29</v>
      </c>
      <c r="P14" s="5" t="e">
        <f ca="1">NF_DIST(P13,P6,P5,P10,TRUE)</f>
        <v>#NAME?</v>
      </c>
      <c r="R14" t="e">
        <f ca="1">FTEXT(P14)</f>
        <v>#NAME?</v>
      </c>
      <c r="T14" s="21" t="s">
        <v>61</v>
      </c>
      <c r="U14" s="3" t="e">
        <f ca="1">H7</f>
        <v>#NAME?</v>
      </c>
      <c r="W14" t="e">
        <f ca="1">FTEXT(U14)</f>
        <v>#NAME?</v>
      </c>
    </row>
    <row r="15" spans="1:23" x14ac:dyDescent="0.35">
      <c r="A15" s="15" t="s">
        <v>62</v>
      </c>
      <c r="B15" s="16">
        <v>12.6</v>
      </c>
      <c r="C15" s="17">
        <v>6.8</v>
      </c>
      <c r="D15" s="18">
        <v>94.600660447193093</v>
      </c>
      <c r="E15" s="19">
        <v>239.4</v>
      </c>
      <c r="G15" t="s">
        <v>30</v>
      </c>
      <c r="H15">
        <f>H16-H14</f>
        <v>46</v>
      </c>
      <c r="I15" t="e">
        <f ca="1">I16-I14</f>
        <v>#NAME?</v>
      </c>
      <c r="J15" t="e">
        <f ca="1">I15/H15</f>
        <v>#NAME?</v>
      </c>
      <c r="O15" s="9" t="s">
        <v>31</v>
      </c>
      <c r="P15" s="7" t="e">
        <f ca="1">1-P14</f>
        <v>#NAME?</v>
      </c>
      <c r="R15" t="e">
        <f ca="1">FTEXT(P15)</f>
        <v>#NAME?</v>
      </c>
      <c r="T15" s="21" t="s">
        <v>63</v>
      </c>
      <c r="U15" s="5" t="e">
        <f ca="1">U12/(U9+U12)</f>
        <v>#NAME?</v>
      </c>
      <c r="W15" t="e">
        <f ca="1">FTEXT(U15)</f>
        <v>#NAME?</v>
      </c>
    </row>
    <row r="16" spans="1:23" x14ac:dyDescent="0.35">
      <c r="A16" s="15" t="s">
        <v>64</v>
      </c>
      <c r="B16" s="16">
        <v>12.2</v>
      </c>
      <c r="C16" s="17">
        <v>7.3</v>
      </c>
      <c r="D16" s="18">
        <v>79.13310968601246</v>
      </c>
      <c r="E16" s="19">
        <v>533.20000000000005</v>
      </c>
      <c r="G16" s="8" t="s">
        <v>32</v>
      </c>
      <c r="H16" s="8">
        <f>H10-1</f>
        <v>49</v>
      </c>
      <c r="I16" s="8">
        <f>DEVSQ(B4:B53)</f>
        <v>423.24879999999996</v>
      </c>
      <c r="J16" s="8"/>
      <c r="K16" s="8"/>
      <c r="L16" s="8"/>
      <c r="M16" s="8"/>
      <c r="T16" s="21" t="s">
        <v>65</v>
      </c>
      <c r="U16" s="7" t="e">
        <f ca="1">U13/(U9+U13)</f>
        <v>#NAME?</v>
      </c>
      <c r="W16" t="e">
        <f ca="1">FTEXT(U16)</f>
        <v>#NAME?</v>
      </c>
    </row>
    <row r="17" spans="1:23" ht="15" thickBot="1" x14ac:dyDescent="0.4">
      <c r="A17" s="15" t="s">
        <v>66</v>
      </c>
      <c r="B17" s="16">
        <v>13.1</v>
      </c>
      <c r="C17" s="17">
        <v>8</v>
      </c>
      <c r="D17" s="18">
        <v>88.000000627274659</v>
      </c>
      <c r="E17" s="19">
        <v>333.6</v>
      </c>
      <c r="O17" t="s">
        <v>33</v>
      </c>
      <c r="P17" s="3" t="e">
        <f ca="1">I15</f>
        <v>#NAME?</v>
      </c>
      <c r="R17" t="e">
        <f ca="1">FTEXT(P17)</f>
        <v>#NAME?</v>
      </c>
      <c r="T17" s="21" t="s">
        <v>20</v>
      </c>
      <c r="U17" s="3">
        <v>0.05</v>
      </c>
    </row>
    <row r="18" spans="1:23" ht="15" thickTop="1" x14ac:dyDescent="0.35">
      <c r="A18" s="15" t="s">
        <v>67</v>
      </c>
      <c r="B18" s="16">
        <v>11.5</v>
      </c>
      <c r="C18" s="17">
        <v>5.0999999999999996</v>
      </c>
      <c r="D18" s="18">
        <v>94.170464820794294</v>
      </c>
      <c r="E18" s="19">
        <v>294.7</v>
      </c>
      <c r="G18" s="10"/>
      <c r="H18" s="10" t="s">
        <v>34</v>
      </c>
      <c r="I18" s="10" t="s">
        <v>35</v>
      </c>
      <c r="J18" s="10" t="s">
        <v>36</v>
      </c>
      <c r="K18" s="10" t="s">
        <v>25</v>
      </c>
      <c r="L18" s="10" t="s">
        <v>37</v>
      </c>
      <c r="M18" s="10" t="s">
        <v>38</v>
      </c>
      <c r="O18" s="12" t="s">
        <v>39</v>
      </c>
      <c r="P18" s="5" t="e">
        <f ca="1">I14</f>
        <v>#NAME?</v>
      </c>
      <c r="R18" t="e">
        <f ca="1">FTEXT(P18)</f>
        <v>#NAME?</v>
      </c>
      <c r="T18" t="s">
        <v>68</v>
      </c>
      <c r="U18" s="5" t="e">
        <f ca="1">REG_POWER(U14,U9,U8,2,U17)</f>
        <v>#NAME?</v>
      </c>
      <c r="W18" t="e">
        <f ca="1">FTEXT(U18)</f>
        <v>#NAME?</v>
      </c>
    </row>
    <row r="19" spans="1:23" x14ac:dyDescent="0.35">
      <c r="A19" s="15" t="s">
        <v>69</v>
      </c>
      <c r="B19" s="16">
        <v>11.3</v>
      </c>
      <c r="C19" s="17">
        <v>7.1</v>
      </c>
      <c r="D19" s="18">
        <v>88.703716524620162</v>
      </c>
      <c r="E19" s="19">
        <v>452.7</v>
      </c>
      <c r="G19" t="s">
        <v>40</v>
      </c>
      <c r="H19" t="e">
        <f t="array" aca="1" ref="H19:I22" ca="1">RegCoeff(C4:E53,B4:B53)</f>
        <v>#NAME?</v>
      </c>
      <c r="I19" t="e">
        <f ca="1"/>
        <v>#NAME?</v>
      </c>
      <c r="J19" t="e">
        <f ca="1">H19/I19</f>
        <v>#NAME?</v>
      </c>
      <c r="K19" t="e">
        <f ca="1">TDIST(ABS(J19),$H$15,2)</f>
        <v>#NAME?</v>
      </c>
      <c r="L19" t="e">
        <f ca="1">H19-TINV(L$12,$H$15)*I19</f>
        <v>#NAME?</v>
      </c>
      <c r="M19" t="e">
        <f ca="1">H19+TINV(L$12,$H$15)*I19</f>
        <v>#NAME?</v>
      </c>
      <c r="O19" t="s">
        <v>15</v>
      </c>
      <c r="P19" s="7" t="e">
        <f ca="1">P18/P17</f>
        <v>#NAME?</v>
      </c>
      <c r="R19" t="e">
        <f ca="1">FTEXT(P19)</f>
        <v>#NAME?</v>
      </c>
      <c r="T19" t="s">
        <v>70</v>
      </c>
      <c r="U19" s="5" t="e">
        <f ca="1">REG_POWER(U15,U9,U8,2,U17)</f>
        <v>#NAME?</v>
      </c>
      <c r="W19" t="e">
        <f ca="1">FTEXT(U19)</f>
        <v>#NAME?</v>
      </c>
    </row>
    <row r="20" spans="1:23" x14ac:dyDescent="0.35">
      <c r="A20" s="15" t="s">
        <v>71</v>
      </c>
      <c r="B20" s="16">
        <v>17.3</v>
      </c>
      <c r="C20" s="17">
        <v>7.5</v>
      </c>
      <c r="D20" s="18">
        <v>89.904327345935869</v>
      </c>
      <c r="E20" s="19">
        <v>295</v>
      </c>
      <c r="G20" t="str">
        <f t="array" ref="G20:G22">TRANSPOSE(C3:E3)</f>
        <v>Infant Mort</v>
      </c>
      <c r="H20" t="e">
        <f ca="1"/>
        <v>#NAME?</v>
      </c>
      <c r="I20" t="e">
        <f ca="1"/>
        <v>#NAME?</v>
      </c>
      <c r="J20" t="e">
        <f ca="1">H20/I20</f>
        <v>#NAME?</v>
      </c>
      <c r="K20" t="e">
        <f ca="1">TDIST(ABS(J20),$H$15,2)</f>
        <v>#NAME?</v>
      </c>
      <c r="L20" t="e">
        <f ca="1">H20-TINV(L$12,$H$15)*I20</f>
        <v>#NAME?</v>
      </c>
      <c r="M20" t="e">
        <f ca="1">H20+TINV(L$12,$H$15)*I20</f>
        <v>#NAME?</v>
      </c>
      <c r="T20" t="s">
        <v>72</v>
      </c>
      <c r="U20" s="7" t="e">
        <f ca="1">REG_POWER(U16,U9,U8,2,U17)</f>
        <v>#NAME?</v>
      </c>
      <c r="W20" t="e">
        <f ca="1">FTEXT(U20)</f>
        <v>#NAME?</v>
      </c>
    </row>
    <row r="21" spans="1:23" x14ac:dyDescent="0.35">
      <c r="A21" s="15" t="s">
        <v>73</v>
      </c>
      <c r="B21" s="16">
        <v>17.3</v>
      </c>
      <c r="C21" s="17">
        <v>9.9</v>
      </c>
      <c r="D21" s="18">
        <v>64.839543701408999</v>
      </c>
      <c r="E21" s="19">
        <v>729.5</v>
      </c>
      <c r="G21" t="str">
        <v>White</v>
      </c>
      <c r="H21" t="e">
        <f ca="1"/>
        <v>#NAME?</v>
      </c>
      <c r="I21" t="e">
        <f ca="1"/>
        <v>#NAME?</v>
      </c>
      <c r="J21" t="e">
        <f ca="1">H21/I21</f>
        <v>#NAME?</v>
      </c>
      <c r="K21" t="e">
        <f ca="1">TDIST(ABS(J21),$H$15,2)</f>
        <v>#NAME?</v>
      </c>
      <c r="L21" t="e">
        <f ca="1">H21-TINV(L$12,$H$15)*I21</f>
        <v>#NAME?</v>
      </c>
      <c r="M21" t="e">
        <f ca="1">H21+TINV(L$12,$H$15)*I21</f>
        <v>#NAME?</v>
      </c>
    </row>
    <row r="22" spans="1:23" x14ac:dyDescent="0.35">
      <c r="A22" s="15" t="s">
        <v>74</v>
      </c>
      <c r="B22" s="16">
        <v>12.3</v>
      </c>
      <c r="C22" s="17">
        <v>6.3</v>
      </c>
      <c r="D22" s="18">
        <v>96.389852756187835</v>
      </c>
      <c r="E22" s="19">
        <v>118</v>
      </c>
      <c r="G22" s="8" t="str">
        <v>Crime</v>
      </c>
      <c r="H22" s="8" t="e">
        <f ca="1"/>
        <v>#NAME?</v>
      </c>
      <c r="I22" s="8" t="e">
        <f ca="1"/>
        <v>#NAME?</v>
      </c>
      <c r="J22" s="8" t="e">
        <f ca="1">H22/I22</f>
        <v>#NAME?</v>
      </c>
      <c r="K22" s="8" t="e">
        <f ca="1">TDIST(ABS(J22),$H$15,2)</f>
        <v>#NAME?</v>
      </c>
      <c r="L22" s="8" t="e">
        <f ca="1">H22-TINV(L$12,$H$15)*I22</f>
        <v>#NAME?</v>
      </c>
      <c r="M22" s="8" t="e">
        <f ca="1">H22+TINV(L$12,$H$15)*I22</f>
        <v>#NAME?</v>
      </c>
    </row>
    <row r="23" spans="1:23" x14ac:dyDescent="0.35">
      <c r="A23" s="15" t="s">
        <v>75</v>
      </c>
      <c r="B23" s="16">
        <v>8.1</v>
      </c>
      <c r="C23" s="17">
        <v>8</v>
      </c>
      <c r="D23" s="18">
        <v>63.398020838196281</v>
      </c>
      <c r="E23" s="19">
        <v>641.9</v>
      </c>
    </row>
    <row r="24" spans="1:23" x14ac:dyDescent="0.35">
      <c r="A24" s="15" t="s">
        <v>76</v>
      </c>
      <c r="B24" s="20">
        <v>10</v>
      </c>
      <c r="C24" s="17">
        <v>4.8</v>
      </c>
      <c r="D24" s="18">
        <v>86.203669547721617</v>
      </c>
      <c r="E24" s="19">
        <v>431.5</v>
      </c>
    </row>
    <row r="25" spans="1:23" x14ac:dyDescent="0.35">
      <c r="A25" s="15" t="s">
        <v>77</v>
      </c>
      <c r="B25" s="16">
        <v>14.4</v>
      </c>
      <c r="C25" s="17">
        <v>7.4</v>
      </c>
      <c r="D25" s="18">
        <v>81.183409037427396</v>
      </c>
      <c r="E25" s="19">
        <v>536</v>
      </c>
    </row>
    <row r="26" spans="1:23" x14ac:dyDescent="0.35">
      <c r="A26" s="15" t="s">
        <v>78</v>
      </c>
      <c r="B26" s="16">
        <v>9.6</v>
      </c>
      <c r="C26" s="17">
        <v>5.2</v>
      </c>
      <c r="D26" s="18">
        <v>89.045556531854984</v>
      </c>
      <c r="E26" s="19">
        <v>288.7</v>
      </c>
    </row>
    <row r="27" spans="1:23" x14ac:dyDescent="0.35">
      <c r="A27" s="15" t="s">
        <v>79</v>
      </c>
      <c r="B27" s="16">
        <v>21.2</v>
      </c>
      <c r="C27" s="17">
        <v>10.6</v>
      </c>
      <c r="D27" s="18">
        <v>60.598179144073846</v>
      </c>
      <c r="E27" s="19">
        <v>291.3</v>
      </c>
    </row>
    <row r="28" spans="1:23" x14ac:dyDescent="0.35">
      <c r="A28" s="15" t="s">
        <v>80</v>
      </c>
      <c r="B28" s="16">
        <v>13.4</v>
      </c>
      <c r="C28" s="17">
        <v>7.4</v>
      </c>
      <c r="D28" s="18">
        <v>85.028888093842554</v>
      </c>
      <c r="E28" s="19">
        <v>504.9</v>
      </c>
    </row>
    <row r="29" spans="1:23" x14ac:dyDescent="0.35">
      <c r="A29" s="15" t="s">
        <v>81</v>
      </c>
      <c r="B29" s="16">
        <v>14.8</v>
      </c>
      <c r="C29" s="17">
        <v>5.8</v>
      </c>
      <c r="D29" s="18">
        <v>90.467729264863962</v>
      </c>
      <c r="E29" s="19">
        <v>287.5</v>
      </c>
    </row>
    <row r="30" spans="1:23" x14ac:dyDescent="0.35">
      <c r="A30" s="15" t="s">
        <v>82</v>
      </c>
      <c r="B30" s="16">
        <v>10.8</v>
      </c>
      <c r="C30" s="17">
        <v>5.6</v>
      </c>
      <c r="D30" s="18">
        <v>91.372477335833381</v>
      </c>
      <c r="E30" s="19">
        <v>302.39999999999998</v>
      </c>
    </row>
    <row r="31" spans="1:23" x14ac:dyDescent="0.35">
      <c r="A31" s="15" t="s">
        <v>83</v>
      </c>
      <c r="B31" s="16">
        <v>11.3</v>
      </c>
      <c r="C31" s="17">
        <v>6.4</v>
      </c>
      <c r="D31" s="18">
        <v>80.891227371165002</v>
      </c>
      <c r="E31" s="19">
        <v>750.6</v>
      </c>
    </row>
    <row r="32" spans="1:23" x14ac:dyDescent="0.35">
      <c r="A32" s="15" t="s">
        <v>84</v>
      </c>
      <c r="B32" s="16">
        <v>7.6</v>
      </c>
      <c r="C32" s="17">
        <v>6.1</v>
      </c>
      <c r="D32" s="18">
        <v>95.487186970145373</v>
      </c>
      <c r="E32" s="19">
        <v>137.30000000000001</v>
      </c>
    </row>
    <row r="33" spans="1:5" x14ac:dyDescent="0.35">
      <c r="A33" s="15" t="s">
        <v>85</v>
      </c>
      <c r="B33" s="16">
        <v>8.6999999999999993</v>
      </c>
      <c r="C33" s="17">
        <v>5.5</v>
      </c>
      <c r="D33" s="18">
        <v>76.032117342828414</v>
      </c>
      <c r="E33" s="19">
        <v>329.3</v>
      </c>
    </row>
    <row r="34" spans="1:5" x14ac:dyDescent="0.35">
      <c r="A34" s="15" t="s">
        <v>86</v>
      </c>
      <c r="B34" s="16">
        <v>17.100000000000001</v>
      </c>
      <c r="C34" s="17">
        <v>5.8</v>
      </c>
      <c r="D34" s="18">
        <v>83.996520785584835</v>
      </c>
      <c r="E34" s="19">
        <v>664.2</v>
      </c>
    </row>
    <row r="35" spans="1:5" x14ac:dyDescent="0.35">
      <c r="A35" s="15" t="s">
        <v>87</v>
      </c>
      <c r="B35" s="16">
        <v>13.6</v>
      </c>
      <c r="C35" s="17">
        <v>5.6</v>
      </c>
      <c r="D35" s="18">
        <v>73.422529169257928</v>
      </c>
      <c r="E35" s="19">
        <v>414.1</v>
      </c>
    </row>
    <row r="36" spans="1:5" x14ac:dyDescent="0.35">
      <c r="A36" s="15" t="s">
        <v>88</v>
      </c>
      <c r="B36" s="16">
        <v>14.6</v>
      </c>
      <c r="C36" s="17">
        <v>8.1</v>
      </c>
      <c r="D36" s="18">
        <v>73.937344387272134</v>
      </c>
      <c r="E36" s="19">
        <v>466.4</v>
      </c>
    </row>
    <row r="37" spans="1:5" x14ac:dyDescent="0.35">
      <c r="A37" s="15" t="s">
        <v>89</v>
      </c>
      <c r="B37" s="22">
        <v>12</v>
      </c>
      <c r="C37" s="17">
        <v>5.8</v>
      </c>
      <c r="D37" s="18">
        <v>91.393509706444945</v>
      </c>
      <c r="E37" s="19">
        <v>142.4</v>
      </c>
    </row>
    <row r="38" spans="1:5" x14ac:dyDescent="0.35">
      <c r="A38" s="15" t="s">
        <v>90</v>
      </c>
      <c r="B38" s="16">
        <v>13.4</v>
      </c>
      <c r="C38" s="17">
        <v>7.8</v>
      </c>
      <c r="D38" s="18">
        <v>84.764237226305966</v>
      </c>
      <c r="E38" s="19">
        <v>343.2</v>
      </c>
    </row>
    <row r="39" spans="1:5" x14ac:dyDescent="0.35">
      <c r="A39" s="15" t="s">
        <v>91</v>
      </c>
      <c r="B39" s="16">
        <v>15.9</v>
      </c>
      <c r="C39" s="17">
        <v>8</v>
      </c>
      <c r="D39" s="18">
        <v>78.141238608693655</v>
      </c>
      <c r="E39" s="19">
        <v>499.6</v>
      </c>
    </row>
    <row r="40" spans="1:5" x14ac:dyDescent="0.35">
      <c r="A40" s="15" t="s">
        <v>92</v>
      </c>
      <c r="B40" s="16">
        <v>13.6</v>
      </c>
      <c r="C40" s="17">
        <v>5.5</v>
      </c>
      <c r="D40" s="18">
        <v>90.140446325387984</v>
      </c>
      <c r="E40" s="19">
        <v>287.60000000000002</v>
      </c>
    </row>
    <row r="41" spans="1:5" x14ac:dyDescent="0.35">
      <c r="A41" s="15" t="s">
        <v>93</v>
      </c>
      <c r="B41" s="16">
        <v>12.1</v>
      </c>
      <c r="C41" s="17">
        <v>7.6</v>
      </c>
      <c r="D41" s="18">
        <v>85.424563507935517</v>
      </c>
      <c r="E41" s="19">
        <v>416.5</v>
      </c>
    </row>
    <row r="42" spans="1:5" x14ac:dyDescent="0.35">
      <c r="A42" s="15" t="s">
        <v>94</v>
      </c>
      <c r="B42" s="16">
        <v>11.7</v>
      </c>
      <c r="C42" s="17">
        <v>6.1</v>
      </c>
      <c r="D42" s="18">
        <v>88.483880668602993</v>
      </c>
      <c r="E42" s="19">
        <v>227.3</v>
      </c>
    </row>
    <row r="43" spans="1:5" x14ac:dyDescent="0.35">
      <c r="A43" s="15" t="s">
        <v>95</v>
      </c>
      <c r="B43" s="16">
        <v>15.7</v>
      </c>
      <c r="C43" s="17">
        <v>8.4</v>
      </c>
      <c r="D43" s="18">
        <v>68.748136077503446</v>
      </c>
      <c r="E43" s="19">
        <v>788.3</v>
      </c>
    </row>
    <row r="44" spans="1:5" x14ac:dyDescent="0.35">
      <c r="A44" s="15" t="s">
        <v>96</v>
      </c>
      <c r="B44" s="16">
        <v>12.5</v>
      </c>
      <c r="C44" s="17">
        <v>6.9</v>
      </c>
      <c r="D44" s="18">
        <v>88.189790025789804</v>
      </c>
      <c r="E44" s="19">
        <v>169.2</v>
      </c>
    </row>
    <row r="45" spans="1:5" x14ac:dyDescent="0.35">
      <c r="A45" s="15" t="s">
        <v>97</v>
      </c>
      <c r="B45" s="16">
        <v>15.5</v>
      </c>
      <c r="C45" s="17">
        <v>8.6999999999999993</v>
      </c>
      <c r="D45" s="18">
        <v>80.371971305033981</v>
      </c>
      <c r="E45" s="19">
        <v>753.3</v>
      </c>
    </row>
    <row r="46" spans="1:5" x14ac:dyDescent="0.35">
      <c r="A46" s="15" t="s">
        <v>98</v>
      </c>
      <c r="B46" s="16">
        <v>15.8</v>
      </c>
      <c r="C46" s="17">
        <v>6.2</v>
      </c>
      <c r="D46" s="18">
        <v>82.402677784750395</v>
      </c>
      <c r="E46" s="19">
        <v>510.6</v>
      </c>
    </row>
    <row r="47" spans="1:5" x14ac:dyDescent="0.35">
      <c r="A47" s="15" t="s">
        <v>99</v>
      </c>
      <c r="B47" s="16">
        <v>9.6</v>
      </c>
      <c r="C47" s="17">
        <v>5.0999999999999996</v>
      </c>
      <c r="D47" s="18">
        <v>92.915461931338129</v>
      </c>
      <c r="E47" s="19">
        <v>234.8</v>
      </c>
    </row>
    <row r="48" spans="1:5" x14ac:dyDescent="0.35">
      <c r="A48" s="15" t="s">
        <v>100</v>
      </c>
      <c r="B48" s="16">
        <v>10.6</v>
      </c>
      <c r="C48" s="17">
        <v>5.5</v>
      </c>
      <c r="D48" s="18">
        <v>96.408807764739961</v>
      </c>
      <c r="E48" s="19">
        <v>124.3</v>
      </c>
    </row>
    <row r="49" spans="1:5" x14ac:dyDescent="0.35">
      <c r="A49" s="15" t="s">
        <v>101</v>
      </c>
      <c r="B49" s="16">
        <v>10.199999999999999</v>
      </c>
      <c r="C49" s="17">
        <v>7.1</v>
      </c>
      <c r="D49" s="18">
        <v>73.031896017666924</v>
      </c>
      <c r="E49" s="19">
        <v>269.7</v>
      </c>
    </row>
    <row r="50" spans="1:5" x14ac:dyDescent="0.35">
      <c r="A50" s="15" t="s">
        <v>102</v>
      </c>
      <c r="B50" s="16">
        <v>11.3</v>
      </c>
      <c r="C50" s="17">
        <v>4.7</v>
      </c>
      <c r="D50" s="18">
        <v>84.290902250404002</v>
      </c>
      <c r="E50" s="19">
        <v>333.1</v>
      </c>
    </row>
    <row r="51" spans="1:5" x14ac:dyDescent="0.35">
      <c r="A51" s="15" t="s">
        <v>103</v>
      </c>
      <c r="B51" s="22">
        <v>17</v>
      </c>
      <c r="C51" s="17">
        <v>7.4</v>
      </c>
      <c r="D51" s="18">
        <v>94.524786328554711</v>
      </c>
      <c r="E51" s="19">
        <v>275.2</v>
      </c>
    </row>
    <row r="52" spans="1:5" x14ac:dyDescent="0.35">
      <c r="A52" s="15" t="s">
        <v>104</v>
      </c>
      <c r="B52" s="16">
        <v>10.4</v>
      </c>
      <c r="C52" s="17">
        <v>6.4</v>
      </c>
      <c r="D52" s="18">
        <v>89.673695670212709</v>
      </c>
      <c r="E52" s="19">
        <v>290.89999999999998</v>
      </c>
    </row>
    <row r="53" spans="1:5" x14ac:dyDescent="0.35">
      <c r="A53" s="23" t="s">
        <v>105</v>
      </c>
      <c r="B53" s="24">
        <v>9.4</v>
      </c>
      <c r="C53" s="25">
        <v>7</v>
      </c>
      <c r="D53" s="26">
        <v>93.867286940458214</v>
      </c>
      <c r="E53" s="27">
        <v>239.3</v>
      </c>
    </row>
    <row r="54" spans="1:5" x14ac:dyDescent="0.35">
      <c r="A54" s="15"/>
      <c r="B54" s="15"/>
      <c r="C54" s="15"/>
      <c r="D54" s="15"/>
      <c r="E54" s="15"/>
    </row>
    <row r="55" spans="1:5" x14ac:dyDescent="0.35">
      <c r="A55" s="15" t="s">
        <v>106</v>
      </c>
      <c r="B55" s="15"/>
      <c r="C55" s="15"/>
      <c r="D55" s="15"/>
      <c r="E55" s="15"/>
    </row>
    <row r="56" spans="1:5" x14ac:dyDescent="0.35">
      <c r="A56" s="15" t="s">
        <v>107</v>
      </c>
      <c r="B56" s="15"/>
      <c r="C56" s="15"/>
      <c r="D56" s="15"/>
      <c r="E56" s="15"/>
    </row>
    <row r="57" spans="1:5" x14ac:dyDescent="0.35">
      <c r="A57" s="15" t="s">
        <v>108</v>
      </c>
      <c r="B57" s="15"/>
      <c r="C57" s="15"/>
      <c r="D57" s="15"/>
      <c r="E57" s="15"/>
    </row>
    <row r="58" spans="1:5" x14ac:dyDescent="0.35">
      <c r="A58" s="15" t="s">
        <v>109</v>
      </c>
      <c r="B58" s="15"/>
      <c r="C58" s="15"/>
      <c r="D58" s="15"/>
      <c r="E58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2AD0-3E8E-46A7-AE8C-24AD03136AE4}">
  <dimension ref="A1:J18"/>
  <sheetViews>
    <sheetView workbookViewId="0"/>
  </sheetViews>
  <sheetFormatPr defaultRowHeight="14.5" x14ac:dyDescent="0.35"/>
  <cols>
    <col min="3" max="3" width="3.54296875" customWidth="1"/>
    <col min="4" max="4" width="28.1796875" customWidth="1"/>
    <col min="7" max="7" width="11" customWidth="1"/>
    <col min="9" max="9" width="3.54296875" customWidth="1"/>
    <col min="10" max="10" width="33" customWidth="1"/>
  </cols>
  <sheetData>
    <row r="1" spans="1:10" x14ac:dyDescent="0.35">
      <c r="A1" s="1" t="s">
        <v>110</v>
      </c>
    </row>
    <row r="3" spans="1:10" x14ac:dyDescent="0.35">
      <c r="A3" t="s">
        <v>5</v>
      </c>
      <c r="B3" s="3">
        <v>100</v>
      </c>
      <c r="D3" t="e">
        <f ca="1">FTEXT(B3)</f>
        <v>#NAME?</v>
      </c>
      <c r="G3" s="9" t="s">
        <v>20</v>
      </c>
      <c r="H3" s="3">
        <v>0.05</v>
      </c>
    </row>
    <row r="4" spans="1:10" x14ac:dyDescent="0.35">
      <c r="A4" t="s">
        <v>6</v>
      </c>
      <c r="B4" s="5">
        <v>10</v>
      </c>
      <c r="D4" t="e">
        <f ca="1">FTEXT(B4)</f>
        <v>#NAME?</v>
      </c>
      <c r="G4" t="s">
        <v>6</v>
      </c>
      <c r="H4" s="5">
        <v>8</v>
      </c>
    </row>
    <row r="5" spans="1:10" x14ac:dyDescent="0.35">
      <c r="A5" t="s">
        <v>8</v>
      </c>
      <c r="B5" s="5">
        <f>B3-B4-1</f>
        <v>89</v>
      </c>
      <c r="D5" t="e">
        <f ca="1">FTEXT(B5)</f>
        <v>#NAME?</v>
      </c>
      <c r="G5" t="s">
        <v>13</v>
      </c>
      <c r="H5" s="5">
        <v>0.2</v>
      </c>
    </row>
    <row r="6" spans="1:10" x14ac:dyDescent="0.35">
      <c r="A6" t="s">
        <v>10</v>
      </c>
      <c r="B6" s="7">
        <f>B4</f>
        <v>10</v>
      </c>
      <c r="D6" t="e">
        <f ca="1">FTEXT(B6)</f>
        <v>#NAME?</v>
      </c>
      <c r="G6" s="9" t="s">
        <v>31</v>
      </c>
      <c r="H6" s="7">
        <v>0.9</v>
      </c>
    </row>
    <row r="8" spans="1:10" x14ac:dyDescent="0.35">
      <c r="A8" t="s">
        <v>13</v>
      </c>
      <c r="B8" s="3">
        <v>0.15</v>
      </c>
      <c r="G8" t="s">
        <v>5</v>
      </c>
      <c r="H8" s="3" t="e">
        <f ca="1">REG_SIZE(H5,H4,H6,2,H3)</f>
        <v>#NAME?</v>
      </c>
      <c r="J8" t="e">
        <f ca="1">FTEXT(H8)</f>
        <v>#NAME?</v>
      </c>
    </row>
    <row r="9" spans="1:10" x14ac:dyDescent="0.35">
      <c r="A9" t="s">
        <v>15</v>
      </c>
      <c r="B9" s="5">
        <f>B8/(1-B8)</f>
        <v>0.17647058823529413</v>
      </c>
      <c r="D9" t="e">
        <f ca="1">FTEXT(B9)</f>
        <v>#NAME?</v>
      </c>
      <c r="G9" t="s">
        <v>15</v>
      </c>
      <c r="H9" s="5">
        <f>H5/(1-H5)</f>
        <v>0.25</v>
      </c>
      <c r="J9" t="e">
        <f ca="1">FTEXT(H9)</f>
        <v>#NAME?</v>
      </c>
    </row>
    <row r="10" spans="1:10" x14ac:dyDescent="0.35">
      <c r="A10" s="9" t="s">
        <v>17</v>
      </c>
      <c r="B10" s="7">
        <f>B9*B3</f>
        <v>17.647058823529413</v>
      </c>
      <c r="D10" t="e">
        <f ca="1">FTEXT(B10)</f>
        <v>#NAME?</v>
      </c>
      <c r="G10" s="9" t="s">
        <v>17</v>
      </c>
      <c r="H10" s="5" t="e">
        <f ca="1">H9*H8</f>
        <v>#NAME?</v>
      </c>
      <c r="J10" t="e">
        <f ca="1">FTEXT(H10)</f>
        <v>#NAME?</v>
      </c>
    </row>
    <row r="11" spans="1:10" x14ac:dyDescent="0.35">
      <c r="G11" t="s">
        <v>8</v>
      </c>
      <c r="H11" s="5" t="e">
        <f ca="1">H8-H4-1</f>
        <v>#NAME?</v>
      </c>
      <c r="J11" t="e">
        <f ca="1">FTEXT(H11)</f>
        <v>#NAME?</v>
      </c>
    </row>
    <row r="12" spans="1:10" x14ac:dyDescent="0.35">
      <c r="A12" s="9" t="s">
        <v>20</v>
      </c>
      <c r="B12" s="3">
        <v>0.05</v>
      </c>
      <c r="G12" t="s">
        <v>10</v>
      </c>
      <c r="H12" s="5">
        <f>H4</f>
        <v>8</v>
      </c>
      <c r="J12" t="e">
        <f ca="1">FTEXT(H12)</f>
        <v>#NAME?</v>
      </c>
    </row>
    <row r="13" spans="1:10" x14ac:dyDescent="0.35">
      <c r="A13" s="9" t="s">
        <v>27</v>
      </c>
      <c r="B13" s="5">
        <f>_xlfn.F.INV.RT(B12,B6,B5)</f>
        <v>1.938791309452103</v>
      </c>
      <c r="D13" t="e">
        <f ca="1">FTEXT(B13)</f>
        <v>#NAME?</v>
      </c>
      <c r="G13" s="9" t="s">
        <v>27</v>
      </c>
      <c r="H13" s="5" t="e">
        <f ca="1">_xlfn.F.INV.RT(H3,H12,H11)</f>
        <v>#NAME?</v>
      </c>
      <c r="J13" t="e">
        <f ca="1">FTEXT(H13)</f>
        <v>#NAME?</v>
      </c>
    </row>
    <row r="14" spans="1:10" x14ac:dyDescent="0.35">
      <c r="A14" s="9" t="s">
        <v>29</v>
      </c>
      <c r="B14" s="5" t="e">
        <f ca="1">NF_DIST(B13,B6,B5,B10,TRUE)</f>
        <v>#NAME?</v>
      </c>
      <c r="D14" t="e">
        <f ca="1">FTEXT(B14)</f>
        <v>#NAME?</v>
      </c>
      <c r="G14" s="9" t="s">
        <v>111</v>
      </c>
      <c r="H14" s="7" t="e">
        <f ca="1">1-NF_DIST(H13,H12,H11,H10,TRUE)</f>
        <v>#NAME?</v>
      </c>
      <c r="J14" t="e">
        <f ca="1">FTEXT(H14)</f>
        <v>#NAME?</v>
      </c>
    </row>
    <row r="15" spans="1:10" x14ac:dyDescent="0.35">
      <c r="A15" s="9" t="s">
        <v>31</v>
      </c>
      <c r="B15" s="7" t="e">
        <f ca="1">1-B14</f>
        <v>#NAME?</v>
      </c>
      <c r="D15" t="e">
        <f ca="1">FTEXT(B15)</f>
        <v>#NAME?</v>
      </c>
    </row>
    <row r="18" spans="1:4" x14ac:dyDescent="0.35">
      <c r="A18" s="9" t="s">
        <v>31</v>
      </c>
      <c r="B18" s="28" t="e">
        <f ca="1">REG_POWER(B8,B3,B4,2,B12)</f>
        <v>#NAME?</v>
      </c>
      <c r="D18" t="e">
        <f ca="1">FTEXT(B18)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Power 1</vt:lpstr>
      <vt:lpstr>Power 2</vt:lpstr>
      <vt:lpstr>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2025-10-15T15:03:58Z</dcterms:created>
  <dcterms:modified xsi:type="dcterms:W3CDTF">2025-10-15T15:08:54Z</dcterms:modified>
</cp:coreProperties>
</file>