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BDEE491A-0775-4E1A-A451-704A1FA87747}" xr6:coauthVersionLast="47" xr6:coauthVersionMax="47" xr10:uidLastSave="{6C3228DA-80BB-4EDA-8980-71A55CFFEF33}"/>
  <bookViews>
    <workbookView xWindow="-110" yWindow="-110" windowWidth="19420" windowHeight="10300" xr2:uid="{76287740-97FD-4059-A8CA-C9B286EA4C85}"/>
  </bookViews>
  <sheets>
    <sheet name="Title" sheetId="3" r:id="rId1"/>
    <sheet name="Reg No Const" sheetId="1" r:id="rId2"/>
    <sheet name="Reg No Const 1" sheetId="2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2" l="1"/>
  <c r="L17" i="2"/>
  <c r="F17" i="2" a="1"/>
  <c r="G18" i="2" s="1"/>
  <c r="G14" i="2"/>
  <c r="F14" i="2"/>
  <c r="H13" i="2"/>
  <c r="G13" i="2"/>
  <c r="F13" i="2"/>
  <c r="J12" i="2"/>
  <c r="K12" i="2" s="1"/>
  <c r="I12" i="2"/>
  <c r="H12" i="2"/>
  <c r="G12" i="2"/>
  <c r="F12" i="2"/>
  <c r="F7" i="2"/>
  <c r="I6" i="2"/>
  <c r="F6" i="2"/>
  <c r="I5" i="2"/>
  <c r="F5" i="2"/>
  <c r="I4" i="2"/>
  <c r="F4" i="2"/>
  <c r="L39" i="1"/>
  <c r="L38" i="1"/>
  <c r="F37" i="1" a="1"/>
  <c r="G38" i="1" s="1"/>
  <c r="T34" i="1"/>
  <c r="T24" i="1" a="1"/>
  <c r="T32" i="1" s="1"/>
  <c r="L18" i="1"/>
  <c r="L17" i="1"/>
  <c r="F17" i="1" a="1"/>
  <c r="G18" i="1" s="1"/>
  <c r="T4" i="1" a="1"/>
  <c r="T7" i="1" s="1"/>
  <c r="E18" i="2"/>
  <c r="E17" i="2"/>
  <c r="E17" i="2" a="1"/>
  <c r="Q14" i="2"/>
  <c r="O14" i="2"/>
  <c r="N14" i="2"/>
  <c r="Q13" i="2"/>
  <c r="O13" i="2"/>
  <c r="N13" i="2"/>
  <c r="Q12" i="2"/>
  <c r="O12" i="2"/>
  <c r="N12" i="2"/>
  <c r="Q11" i="2"/>
  <c r="O11" i="2"/>
  <c r="N11" i="2"/>
  <c r="Q10" i="2"/>
  <c r="O10" i="2"/>
  <c r="N10" i="2"/>
  <c r="Q9" i="2"/>
  <c r="O9" i="2"/>
  <c r="N9" i="2"/>
  <c r="Q8" i="2"/>
  <c r="O8" i="2"/>
  <c r="N8" i="2"/>
  <c r="F8" i="2"/>
  <c r="Q7" i="2"/>
  <c r="O7" i="2"/>
  <c r="N7" i="2"/>
  <c r="Q6" i="2"/>
  <c r="O6" i="2"/>
  <c r="N6" i="2"/>
  <c r="Q5" i="2"/>
  <c r="O5" i="2"/>
  <c r="N5" i="2"/>
  <c r="N17" i="2" s="1" a="1"/>
  <c r="AG6" i="2"/>
  <c r="AG5" i="2"/>
  <c r="AG4" i="2" a="1"/>
  <c r="AG4" i="2" s="1"/>
  <c r="AF4" i="2" a="1"/>
  <c r="AF4" i="2" s="1"/>
  <c r="Z8" i="2"/>
  <c r="AA7" i="2"/>
  <c r="Z7" i="2"/>
  <c r="AA6" i="2"/>
  <c r="Z6" i="2"/>
  <c r="AA5" i="2"/>
  <c r="Z5" i="2"/>
  <c r="AA4" i="2"/>
  <c r="Z4" i="2" a="1"/>
  <c r="AA8" i="2" s="1"/>
  <c r="Q4" i="2"/>
  <c r="W18" i="2" s="1"/>
  <c r="O4" i="2"/>
  <c r="N4" i="2"/>
  <c r="E39" i="1"/>
  <c r="E38" i="1"/>
  <c r="E38" i="1" a="1"/>
  <c r="Q34" i="1"/>
  <c r="P34" i="1"/>
  <c r="O34" i="1"/>
  <c r="G34" i="1"/>
  <c r="F34" i="1"/>
  <c r="F33" i="1" s="1"/>
  <c r="Q33" i="1"/>
  <c r="P33" i="1"/>
  <c r="O33" i="1"/>
  <c r="Q32" i="1"/>
  <c r="P32" i="1"/>
  <c r="O32" i="1"/>
  <c r="F32" i="1"/>
  <c r="Q31" i="1"/>
  <c r="P31" i="1"/>
  <c r="O31" i="1"/>
  <c r="Q30" i="1"/>
  <c r="P30" i="1"/>
  <c r="O30" i="1"/>
  <c r="Q29" i="1"/>
  <c r="P29" i="1"/>
  <c r="O29" i="1"/>
  <c r="Q28" i="1"/>
  <c r="P28" i="1"/>
  <c r="O28" i="1"/>
  <c r="F28" i="1"/>
  <c r="AC27" i="1"/>
  <c r="AC25" i="1" s="1"/>
  <c r="Q27" i="1"/>
  <c r="P27" i="1"/>
  <c r="O27" i="1"/>
  <c r="Q26" i="1"/>
  <c r="P26" i="1"/>
  <c r="O26" i="1"/>
  <c r="N26" i="1"/>
  <c r="N27" i="1" s="1"/>
  <c r="N28" i="1" s="1"/>
  <c r="N29" i="1" s="1"/>
  <c r="N30" i="1" s="1"/>
  <c r="N31" i="1" s="1"/>
  <c r="N32" i="1" s="1"/>
  <c r="N33" i="1" s="1"/>
  <c r="N34" i="1" s="1"/>
  <c r="Q25" i="1"/>
  <c r="P25" i="1"/>
  <c r="O25" i="1"/>
  <c r="N25" i="1"/>
  <c r="R24" i="1" a="1"/>
  <c r="R26" i="1" s="1"/>
  <c r="Q24" i="1"/>
  <c r="P24" i="1"/>
  <c r="O24" i="1"/>
  <c r="Q23" i="1"/>
  <c r="P23" i="1"/>
  <c r="O23" i="1"/>
  <c r="E18" i="1"/>
  <c r="E17" i="1"/>
  <c r="E17" i="1" a="1"/>
  <c r="Q14" i="1"/>
  <c r="P14" i="1"/>
  <c r="O14" i="1"/>
  <c r="G14" i="1"/>
  <c r="F14" i="1"/>
  <c r="F13" i="1" s="1"/>
  <c r="Q13" i="1"/>
  <c r="P13" i="1"/>
  <c r="O13" i="1"/>
  <c r="Q12" i="1"/>
  <c r="P12" i="1"/>
  <c r="O12" i="1"/>
  <c r="F12" i="1"/>
  <c r="Q11" i="1"/>
  <c r="S11" i="1" s="1"/>
  <c r="P11" i="1"/>
  <c r="O11" i="1"/>
  <c r="Q10" i="1"/>
  <c r="P10" i="1"/>
  <c r="O10" i="1"/>
  <c r="Q9" i="1"/>
  <c r="P9" i="1"/>
  <c r="O9" i="1"/>
  <c r="S8" i="1"/>
  <c r="Q8" i="1"/>
  <c r="P8" i="1"/>
  <c r="O8" i="1"/>
  <c r="F8" i="1"/>
  <c r="AC7" i="1"/>
  <c r="S7" i="1"/>
  <c r="Q7" i="1"/>
  <c r="P7" i="1"/>
  <c r="O7" i="1"/>
  <c r="S6" i="1"/>
  <c r="Q6" i="1"/>
  <c r="P6" i="1"/>
  <c r="O6" i="1"/>
  <c r="AC5" i="1"/>
  <c r="Q5" i="1"/>
  <c r="P5" i="1"/>
  <c r="O5" i="1"/>
  <c r="N5" i="1"/>
  <c r="N6" i="1" s="1"/>
  <c r="N7" i="1" s="1"/>
  <c r="N8" i="1" s="1"/>
  <c r="N9" i="1" s="1"/>
  <c r="N10" i="1" s="1"/>
  <c r="N11" i="1" s="1"/>
  <c r="N12" i="1" s="1"/>
  <c r="N13" i="1" s="1"/>
  <c r="N14" i="1" s="1"/>
  <c r="R13" i="1"/>
  <c r="S13" i="1" s="1"/>
  <c r="R11" i="1"/>
  <c r="R10" i="1"/>
  <c r="S10" i="1" s="1"/>
  <c r="R9" i="1"/>
  <c r="S9" i="1" s="1"/>
  <c r="R8" i="1"/>
  <c r="R7" i="1"/>
  <c r="R6" i="1"/>
  <c r="R5" i="1"/>
  <c r="S5" i="1" s="1"/>
  <c r="R4" i="1"/>
  <c r="R4" i="1" a="1"/>
  <c r="R14" i="1" s="1"/>
  <c r="Q4" i="1"/>
  <c r="S4" i="1" s="1"/>
  <c r="P4" i="1"/>
  <c r="O4" i="1"/>
  <c r="Q3" i="1"/>
  <c r="P3" i="1"/>
  <c r="O3" i="1"/>
  <c r="T8" i="1" l="1"/>
  <c r="T10" i="1"/>
  <c r="T12" i="1"/>
  <c r="T9" i="1"/>
  <c r="T11" i="1"/>
  <c r="T13" i="1"/>
  <c r="T33" i="1"/>
  <c r="F37" i="1"/>
  <c r="G32" i="1" s="1"/>
  <c r="G33" i="1" s="1"/>
  <c r="H33" i="1" s="1"/>
  <c r="F27" i="1" s="1"/>
  <c r="G37" i="1"/>
  <c r="T14" i="1"/>
  <c r="T27" i="1"/>
  <c r="F38" i="1"/>
  <c r="H38" i="1" s="1"/>
  <c r="I38" i="1" s="1"/>
  <c r="F17" i="2"/>
  <c r="T24" i="1"/>
  <c r="T25" i="1"/>
  <c r="G17" i="2"/>
  <c r="T4" i="1"/>
  <c r="F17" i="1"/>
  <c r="G12" i="1" s="1"/>
  <c r="G13" i="1" s="1"/>
  <c r="I6" i="1" s="1"/>
  <c r="T29" i="1"/>
  <c r="F39" i="1"/>
  <c r="H39" i="1" s="1"/>
  <c r="I39" i="1" s="1"/>
  <c r="F18" i="2"/>
  <c r="H18" i="2" s="1"/>
  <c r="I18" i="2" s="1"/>
  <c r="T5" i="1"/>
  <c r="G17" i="1"/>
  <c r="T30" i="1"/>
  <c r="G39" i="1"/>
  <c r="T6" i="1"/>
  <c r="F18" i="1"/>
  <c r="K18" i="1" s="1"/>
  <c r="T31" i="1"/>
  <c r="T26" i="1"/>
  <c r="T28" i="1"/>
  <c r="S30" i="1"/>
  <c r="S31" i="1"/>
  <c r="J37" i="1"/>
  <c r="H37" i="1"/>
  <c r="I37" i="1" s="1"/>
  <c r="K37" i="1"/>
  <c r="S26" i="1"/>
  <c r="S14" i="1"/>
  <c r="O18" i="2"/>
  <c r="N18" i="2"/>
  <c r="O17" i="2"/>
  <c r="N17" i="2"/>
  <c r="R27" i="1"/>
  <c r="S27" i="1" s="1"/>
  <c r="Z4" i="2"/>
  <c r="AF5" i="2"/>
  <c r="R28" i="1"/>
  <c r="S28" i="1" s="1"/>
  <c r="AF6" i="2"/>
  <c r="R29" i="1"/>
  <c r="S29" i="1" s="1"/>
  <c r="R30" i="1"/>
  <c r="R31" i="1"/>
  <c r="R32" i="1"/>
  <c r="S32" i="1" s="1"/>
  <c r="R33" i="1"/>
  <c r="S33" i="1" s="1"/>
  <c r="R34" i="1"/>
  <c r="S34" i="1" s="1"/>
  <c r="R12" i="1"/>
  <c r="S12" i="1" s="1"/>
  <c r="R24" i="1"/>
  <c r="S24" i="1" s="1"/>
  <c r="R25" i="1"/>
  <c r="S25" i="1" s="1"/>
  <c r="K39" i="1" l="1"/>
  <c r="K18" i="2"/>
  <c r="J18" i="2"/>
  <c r="J39" i="1"/>
  <c r="H12" i="1"/>
  <c r="K17" i="1"/>
  <c r="F5" i="1"/>
  <c r="F6" i="1" s="1"/>
  <c r="J17" i="1"/>
  <c r="I24" i="1"/>
  <c r="I25" i="1" s="1"/>
  <c r="H18" i="1"/>
  <c r="I18" i="1" s="1"/>
  <c r="I26" i="1"/>
  <c r="J18" i="1"/>
  <c r="J38" i="1"/>
  <c r="H17" i="1"/>
  <c r="I17" i="1" s="1"/>
  <c r="K38" i="1"/>
  <c r="F25" i="1"/>
  <c r="H32" i="1"/>
  <c r="U33" i="1"/>
  <c r="Y32" i="1"/>
  <c r="U32" i="1"/>
  <c r="S4" i="2" a="1"/>
  <c r="I32" i="1"/>
  <c r="J32" i="1" s="1"/>
  <c r="K32" i="1" s="1"/>
  <c r="K17" i="2"/>
  <c r="J17" i="2"/>
  <c r="H17" i="2"/>
  <c r="I17" i="2" s="1"/>
  <c r="Y14" i="1"/>
  <c r="I4" i="1"/>
  <c r="I5" i="1" s="1"/>
  <c r="H13" i="1"/>
  <c r="F7" i="1" s="1"/>
  <c r="U30" i="1"/>
  <c r="U24" i="1"/>
  <c r="AC24" i="1"/>
  <c r="AC26" i="1" s="1"/>
  <c r="U34" i="1" s="1"/>
  <c r="U12" i="1"/>
  <c r="Y12" i="1"/>
  <c r="Y26" i="1"/>
  <c r="AC4" i="1"/>
  <c r="AC6" i="1" s="1"/>
  <c r="F24" i="1" l="1"/>
  <c r="F26" i="1"/>
  <c r="F4" i="1"/>
  <c r="Y31" i="1"/>
  <c r="V12" i="1"/>
  <c r="W12" i="1" s="1"/>
  <c r="Y7" i="1"/>
  <c r="V8" i="1"/>
  <c r="W8" i="1" s="1"/>
  <c r="V9" i="1"/>
  <c r="W9" i="1" s="1"/>
  <c r="U8" i="1"/>
  <c r="V7" i="1"/>
  <c r="W7" i="1" s="1"/>
  <c r="V10" i="1"/>
  <c r="W10" i="1" s="1"/>
  <c r="U7" i="1"/>
  <c r="V6" i="1"/>
  <c r="W6" i="1" s="1"/>
  <c r="V11" i="1"/>
  <c r="W11" i="1" s="1"/>
  <c r="U6" i="1"/>
  <c r="V5" i="1"/>
  <c r="W5" i="1" s="1"/>
  <c r="V4" i="1"/>
  <c r="W4" i="1" s="1"/>
  <c r="V14" i="1"/>
  <c r="W14" i="1" s="1"/>
  <c r="V13" i="1"/>
  <c r="W13" i="1" s="1"/>
  <c r="Y4" i="1"/>
  <c r="Y6" i="1"/>
  <c r="U9" i="1"/>
  <c r="Y10" i="1"/>
  <c r="Y11" i="1"/>
  <c r="U4" i="1"/>
  <c r="Y8" i="1"/>
  <c r="U10" i="1"/>
  <c r="U11" i="1"/>
  <c r="Y5" i="1"/>
  <c r="U5" i="1"/>
  <c r="U13" i="1"/>
  <c r="Y13" i="1"/>
  <c r="Y9" i="1"/>
  <c r="I12" i="1"/>
  <c r="J12" i="1" s="1"/>
  <c r="K12" i="1" s="1"/>
  <c r="Y34" i="1"/>
  <c r="U28" i="1"/>
  <c r="Y30" i="1"/>
  <c r="U29" i="1"/>
  <c r="Y25" i="1"/>
  <c r="Y33" i="1"/>
  <c r="Y28" i="1"/>
  <c r="U25" i="1"/>
  <c r="U31" i="1"/>
  <c r="Y29" i="1"/>
  <c r="U27" i="1"/>
  <c r="U26" i="1"/>
  <c r="Y24" i="1"/>
  <c r="U14" i="1"/>
  <c r="Y27" i="1"/>
  <c r="V24" i="1"/>
  <c r="W24" i="1" s="1"/>
  <c r="V34" i="1"/>
  <c r="W34" i="1" s="1"/>
  <c r="V33" i="1"/>
  <c r="W33" i="1" s="1"/>
  <c r="V32" i="1"/>
  <c r="W32" i="1" s="1"/>
  <c r="V28" i="1"/>
  <c r="W28" i="1" s="1"/>
  <c r="V29" i="1"/>
  <c r="W29" i="1" s="1"/>
  <c r="V27" i="1"/>
  <c r="W27" i="1" s="1"/>
  <c r="V30" i="1"/>
  <c r="W30" i="1" s="1"/>
  <c r="V26" i="1"/>
  <c r="W26" i="1" s="1"/>
  <c r="V31" i="1"/>
  <c r="W31" i="1" s="1"/>
  <c r="V25" i="1"/>
  <c r="W25" i="1" s="1"/>
  <c r="S5" i="2"/>
  <c r="S4" i="2"/>
  <c r="U4" i="2" s="1" a="1"/>
  <c r="Z24" i="1" l="1"/>
  <c r="X24" i="1"/>
  <c r="Z7" i="1"/>
  <c r="X7" i="1"/>
  <c r="Z27" i="1"/>
  <c r="X27" i="1"/>
  <c r="Z9" i="1"/>
  <c r="X9" i="1"/>
  <c r="Z28" i="1"/>
  <c r="X28" i="1"/>
  <c r="Z14" i="1"/>
  <c r="X14" i="1"/>
  <c r="Z31" i="1"/>
  <c r="X31" i="1"/>
  <c r="Z10" i="1"/>
  <c r="X10" i="1"/>
  <c r="Z26" i="1"/>
  <c r="X26" i="1"/>
  <c r="Z30" i="1"/>
  <c r="X30" i="1"/>
  <c r="Z29" i="1"/>
  <c r="X29" i="1"/>
  <c r="Z13" i="1"/>
  <c r="X13" i="1"/>
  <c r="X8" i="1"/>
  <c r="Z8" i="1"/>
  <c r="Z32" i="1"/>
  <c r="X32" i="1"/>
  <c r="Z4" i="1"/>
  <c r="X4" i="1"/>
  <c r="Z12" i="1"/>
  <c r="X12" i="1"/>
  <c r="X34" i="1"/>
  <c r="Z34" i="1"/>
  <c r="U4" i="2"/>
  <c r="W4" i="2" s="1"/>
  <c r="U14" i="2"/>
  <c r="W14" i="2" s="1"/>
  <c r="U13" i="2"/>
  <c r="W13" i="2" s="1"/>
  <c r="U12" i="2"/>
  <c r="W12" i="2" s="1"/>
  <c r="U11" i="2"/>
  <c r="W11" i="2" s="1"/>
  <c r="U10" i="2"/>
  <c r="W10" i="2" s="1"/>
  <c r="U9" i="2"/>
  <c r="W9" i="2" s="1"/>
  <c r="U8" i="2"/>
  <c r="W8" i="2" s="1"/>
  <c r="U7" i="2"/>
  <c r="W7" i="2" s="1"/>
  <c r="U6" i="2"/>
  <c r="W6" i="2" s="1"/>
  <c r="U5" i="2"/>
  <c r="W5" i="2" s="1"/>
  <c r="Z11" i="1"/>
  <c r="X11" i="1"/>
  <c r="Z6" i="1"/>
  <c r="X6" i="1"/>
  <c r="Z25" i="1"/>
  <c r="X25" i="1"/>
  <c r="X33" i="1"/>
  <c r="Z33" i="1"/>
  <c r="Z5" i="1"/>
  <c r="X5" i="1"/>
  <c r="W17" i="2" l="1"/>
  <c r="W19" i="2" s="1"/>
  <c r="Q17" i="2" s="1" a="1"/>
  <c r="R18" i="2" l="1"/>
  <c r="S10" i="2" s="1"/>
  <c r="Q18" i="2"/>
  <c r="R17" i="2"/>
  <c r="Q17" i="2"/>
  <c r="S9" i="2" s="1"/>
</calcChain>
</file>

<file path=xl/sharedStrings.xml><?xml version="1.0" encoding="utf-8"?>
<sst xmlns="http://schemas.openxmlformats.org/spreadsheetml/2006/main" count="155" uniqueCount="75">
  <si>
    <t>Regression w/o Intercept</t>
  </si>
  <si>
    <t>Regression Analysis</t>
  </si>
  <si>
    <t>Cook's D</t>
  </si>
  <si>
    <t>Color</t>
  </si>
  <si>
    <t>Quality</t>
  </si>
  <si>
    <t>Price</t>
  </si>
  <si>
    <t>OVERALL FIT</t>
  </si>
  <si>
    <t>Obs</t>
  </si>
  <si>
    <t>Pred Y</t>
  </si>
  <si>
    <t>Residual</t>
  </si>
  <si>
    <t>Leverage</t>
  </si>
  <si>
    <t>SResidual</t>
  </si>
  <si>
    <t>Mod MSE</t>
  </si>
  <si>
    <t>RStudent</t>
  </si>
  <si>
    <t>T-Test</t>
  </si>
  <si>
    <t>DFFITS</t>
  </si>
  <si>
    <t>Multiple R</t>
  </si>
  <si>
    <t>AIC</t>
  </si>
  <si>
    <t>SSE</t>
  </si>
  <si>
    <t>R Square</t>
  </si>
  <si>
    <t>AICc</t>
  </si>
  <si>
    <t>dfE</t>
  </si>
  <si>
    <t>Adjusted R Square</t>
  </si>
  <si>
    <t>SBC</t>
  </si>
  <si>
    <t>MSE</t>
  </si>
  <si>
    <t>Standard Error</t>
  </si>
  <si>
    <t>k</t>
  </si>
  <si>
    <t>Observations</t>
  </si>
  <si>
    <t>ANOVA</t>
  </si>
  <si>
    <t>Alpha</t>
  </si>
  <si>
    <t>df</t>
  </si>
  <si>
    <t>SS</t>
  </si>
  <si>
    <t>MS</t>
  </si>
  <si>
    <t>F</t>
  </si>
  <si>
    <t>p-value</t>
  </si>
  <si>
    <t>sig</t>
  </si>
  <si>
    <t>Regression</t>
  </si>
  <si>
    <t>Total</t>
  </si>
  <si>
    <t>coeff</t>
  </si>
  <si>
    <t>std err</t>
  </si>
  <si>
    <t>t stat</t>
  </si>
  <si>
    <t>lower</t>
  </si>
  <si>
    <t>upper</t>
  </si>
  <si>
    <t>vif</t>
  </si>
  <si>
    <t>Regression Analysis (with intercept)</t>
  </si>
  <si>
    <t>BSC</t>
  </si>
  <si>
    <t>Intercept</t>
  </si>
  <si>
    <t>Matrix Calculations</t>
  </si>
  <si>
    <t>LINEST</t>
  </si>
  <si>
    <t>TREND</t>
  </si>
  <si>
    <t>X</t>
  </si>
  <si>
    <t>Y</t>
  </si>
  <si>
    <t>B</t>
  </si>
  <si>
    <t>Ŷ</t>
  </si>
  <si>
    <t>E</t>
  </si>
  <si>
    <t>b2</t>
  </si>
  <si>
    <t>b1</t>
  </si>
  <si>
    <t>Price 0</t>
  </si>
  <si>
    <t>Price 1</t>
  </si>
  <si>
    <t>Slope (b)</t>
  </si>
  <si>
    <r>
      <t>S.E. of slope (s</t>
    </r>
    <r>
      <rPr>
        <vertAlign val="subscript"/>
        <sz val="10"/>
        <color theme="1"/>
        <rFont val="Calibri"/>
        <family val="2"/>
        <scheme val="minor"/>
      </rPr>
      <t>b</t>
    </r>
    <r>
      <rPr>
        <sz val="10"/>
        <color theme="1"/>
        <rFont val="Calibri"/>
        <family val="2"/>
        <scheme val="minor"/>
      </rPr>
      <t>)</t>
    </r>
  </si>
  <si>
    <r>
      <t>S.E. of estimate (s</t>
    </r>
    <r>
      <rPr>
        <vertAlign val="subscript"/>
        <sz val="10"/>
        <color theme="1"/>
        <rFont val="Calibri"/>
        <family val="2"/>
        <scheme val="minor"/>
      </rPr>
      <t>Res</t>
    </r>
    <r>
      <rPr>
        <sz val="10"/>
        <color theme="1"/>
        <rFont val="Calibri"/>
        <family val="2"/>
        <scheme val="minor"/>
      </rPr>
      <t>)</t>
    </r>
  </si>
  <si>
    <r>
      <t>df</t>
    </r>
    <r>
      <rPr>
        <vertAlign val="subscript"/>
        <sz val="10"/>
        <color theme="1"/>
        <rFont val="Calibri"/>
        <family val="2"/>
        <scheme val="minor"/>
      </rPr>
      <t>Res</t>
    </r>
  </si>
  <si>
    <t>s.e.</t>
  </si>
  <si>
    <r>
      <t>SS</t>
    </r>
    <r>
      <rPr>
        <vertAlign val="subscript"/>
        <sz val="10"/>
        <color theme="1"/>
        <rFont val="Calibri"/>
        <family val="2"/>
        <scheme val="minor"/>
      </rPr>
      <t>Reg</t>
    </r>
  </si>
  <si>
    <r>
      <t>SS</t>
    </r>
    <r>
      <rPr>
        <vertAlign val="subscript"/>
        <sz val="10"/>
        <color theme="1"/>
        <rFont val="Calibri"/>
        <family val="2"/>
        <scheme val="minor"/>
      </rPr>
      <t>Res</t>
    </r>
  </si>
  <si>
    <r>
      <t>(X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X)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</si>
  <si>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MS</t>
    </r>
    <r>
      <rPr>
        <vertAlign val="subscript"/>
        <sz val="11"/>
        <color theme="1"/>
        <rFont val="Calibri"/>
        <family val="2"/>
        <scheme val="minor"/>
      </rPr>
      <t>Res</t>
    </r>
    <r>
      <rPr>
        <sz val="11"/>
        <color theme="1"/>
        <rFont val="Calibri"/>
        <family val="2"/>
        <scheme val="minor"/>
      </rPr>
      <t>(X</t>
    </r>
    <r>
      <rPr>
        <vertAlign val="superscript"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X)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</si>
  <si>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SS</t>
    </r>
    <r>
      <rPr>
        <vertAlign val="subscript"/>
        <sz val="11"/>
        <color theme="1"/>
        <rFont val="Calibri"/>
        <family val="2"/>
        <scheme val="minor"/>
      </rPr>
      <t>Res</t>
    </r>
  </si>
  <si>
    <r>
      <t>df</t>
    </r>
    <r>
      <rPr>
        <vertAlign val="subscript"/>
        <sz val="11"/>
        <color theme="1"/>
        <rFont val="Calibri"/>
        <family val="2"/>
        <scheme val="minor"/>
      </rPr>
      <t>Res</t>
    </r>
  </si>
  <si>
    <r>
      <t>MS</t>
    </r>
    <r>
      <rPr>
        <vertAlign val="subscript"/>
        <sz val="11"/>
        <color theme="1"/>
        <rFont val="Calibri"/>
        <family val="2"/>
        <scheme val="minor"/>
      </rPr>
      <t>Res</t>
    </r>
  </si>
  <si>
    <t>Real Statistics Using Excel</t>
  </si>
  <si>
    <t>Updated</t>
  </si>
  <si>
    <t>Copyright © 2013 - 2025 Charles Zaiontz</t>
  </si>
  <si>
    <t>Regression through Origin in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</si>
</sst>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164" fontId="0" fillId="0" borderId="10" xfId="0" applyNumberFormat="1" applyBorder="1"/>
    <xf numFmtId="164" fontId="0" fillId="0" borderId="11" xfId="0" applyNumberFormat="1" applyBorder="1"/>
    <xf numFmtId="0" fontId="4" fillId="2" borderId="0" xfId="0" applyFont="1" applyFill="1"/>
    <xf numFmtId="0" fontId="0" fillId="0" borderId="12" xfId="0" applyBorder="1" applyAlignment="1">
      <alignment horizontal="center"/>
    </xf>
    <xf numFmtId="0" fontId="0" fillId="0" borderId="8" xfId="0" applyBorder="1"/>
    <xf numFmtId="0" fontId="0" fillId="0" borderId="13" xfId="0" applyBorder="1"/>
    <xf numFmtId="0" fontId="0" fillId="0" borderId="14" xfId="0" applyBorder="1"/>
    <xf numFmtId="0" fontId="0" fillId="0" borderId="9" xfId="0" applyBorder="1"/>
    <xf numFmtId="0" fontId="0" fillId="0" borderId="15" xfId="0" applyBorder="1"/>
    <xf numFmtId="0" fontId="0" fillId="0" borderId="16" xfId="0" applyBorder="1"/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17" xfId="0" applyNumberFormat="1" applyBorder="1"/>
    <xf numFmtId="0" fontId="0" fillId="0" borderId="17" xfId="0" applyBorder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15" fontId="0" fillId="0" borderId="0" xfId="0" applyNumberForma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0E52-49A4-46A5-9104-3D09ACC5615D}"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71</v>
      </c>
    </row>
    <row r="2" spans="1:2" x14ac:dyDescent="0.35">
      <c r="A2" t="s">
        <v>74</v>
      </c>
    </row>
    <row r="4" spans="1:2" x14ac:dyDescent="0.35">
      <c r="A4" t="s">
        <v>72</v>
      </c>
      <c r="B4" s="38">
        <v>45945</v>
      </c>
    </row>
    <row r="6" spans="1:2" x14ac:dyDescent="0.35">
      <c r="A6" s="39" t="s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A5706-FBD1-4596-87E7-C896992B55B3}">
  <dimension ref="A1:AC39"/>
  <sheetViews>
    <sheetView workbookViewId="0"/>
  </sheetViews>
  <sheetFormatPr defaultRowHeight="14.5" x14ac:dyDescent="0.35"/>
  <cols>
    <col min="5" max="5" width="17.54296875" customWidth="1"/>
  </cols>
  <sheetData>
    <row r="1" spans="1:29" x14ac:dyDescent="0.35">
      <c r="A1" s="1" t="s">
        <v>0</v>
      </c>
      <c r="E1" t="s">
        <v>1</v>
      </c>
      <c r="N1" t="s">
        <v>2</v>
      </c>
    </row>
    <row r="2" spans="1:29" ht="15" thickBot="1" x14ac:dyDescent="0.4"/>
    <row r="3" spans="1:29" ht="15.5" thickTop="1" thickBot="1" x14ac:dyDescent="0.4">
      <c r="A3" s="2" t="s">
        <v>3</v>
      </c>
      <c r="B3" s="2" t="s">
        <v>4</v>
      </c>
      <c r="C3" s="2" t="s">
        <v>5</v>
      </c>
      <c r="E3" s="3" t="s">
        <v>6</v>
      </c>
      <c r="F3" s="3"/>
      <c r="H3" s="3"/>
      <c r="I3" s="3"/>
      <c r="N3" s="4" t="s">
        <v>7</v>
      </c>
      <c r="O3" s="4" t="str">
        <f>A3</f>
        <v>Color</v>
      </c>
      <c r="P3" s="4" t="str">
        <f>B3</f>
        <v>Quality</v>
      </c>
      <c r="Q3" s="4" t="str">
        <f>C3</f>
        <v>Price</v>
      </c>
      <c r="R3" s="4" t="s">
        <v>8</v>
      </c>
      <c r="S3" s="4" t="s">
        <v>9</v>
      </c>
      <c r="T3" s="4" t="s">
        <v>10</v>
      </c>
      <c r="U3" s="4" t="s">
        <v>11</v>
      </c>
      <c r="V3" s="4" t="s">
        <v>12</v>
      </c>
      <c r="W3" s="4" t="s">
        <v>13</v>
      </c>
      <c r="X3" s="4" t="s">
        <v>14</v>
      </c>
      <c r="Y3" s="4" t="s">
        <v>2</v>
      </c>
      <c r="Z3" s="4" t="s">
        <v>15</v>
      </c>
    </row>
    <row r="4" spans="1:29" ht="15" thickTop="1" x14ac:dyDescent="0.35">
      <c r="A4" s="5">
        <v>7</v>
      </c>
      <c r="B4" s="5">
        <v>5</v>
      </c>
      <c r="C4" s="5">
        <v>65</v>
      </c>
      <c r="E4" t="s">
        <v>16</v>
      </c>
      <c r="F4" t="e">
        <f ca="1">SQRT(F5)</f>
        <v>#NAME?</v>
      </c>
      <c r="H4" t="s">
        <v>17</v>
      </c>
      <c r="I4" t="e">
        <f ca="1">F8*LN(G13/F8)+2*F12</f>
        <v>#NAME?</v>
      </c>
      <c r="N4">
        <v>1</v>
      </c>
      <c r="O4">
        <f t="shared" ref="O4:Q14" si="0">A4</f>
        <v>7</v>
      </c>
      <c r="P4">
        <f t="shared" si="0"/>
        <v>5</v>
      </c>
      <c r="Q4">
        <f t="shared" si="0"/>
        <v>65</v>
      </c>
      <c r="R4">
        <f t="array" ref="R4:R14">TREND(C4:C14,A4:B14,,FALSE)</f>
        <v>54.971484121840575</v>
      </c>
      <c r="S4">
        <f>Q4-R4</f>
        <v>10.028515878159425</v>
      </c>
      <c r="T4" t="e">
        <f t="array" aca="1" ref="T4:T14" ca="1">LEVERAGE(A4:B14,FALSE)</f>
        <v>#NAME?</v>
      </c>
      <c r="U4">
        <f>S4/SQRT($AC$6)</f>
        <v>1.7993969907778364</v>
      </c>
      <c r="V4" t="e">
        <f ca="1">($AC$6-S4^2/((1-T4)*$AC$5))*$AC$5/($AC$5-1)</f>
        <v>#NAME?</v>
      </c>
      <c r="W4" t="e">
        <f ca="1">S4/SQRT(V4*(1-T4))</f>
        <v>#NAME?</v>
      </c>
      <c r="X4" t="e">
        <f ca="1">TDIST(ABS(W4),$AC$5,2)</f>
        <v>#NAME?</v>
      </c>
      <c r="Y4" t="e">
        <f ca="1">(S4^2/$AC$6)*(T4/(1-T4)^2)/$AC$7</f>
        <v>#NAME?</v>
      </c>
      <c r="Z4" t="e">
        <f ca="1">W4*SQRT(T4/(1-T4))</f>
        <v>#NAME?</v>
      </c>
      <c r="AB4" t="s">
        <v>18</v>
      </c>
      <c r="AC4" s="7">
        <f>SUMSQ(S4:S14)</f>
        <v>279.55152300712899</v>
      </c>
    </row>
    <row r="5" spans="1:29" x14ac:dyDescent="0.35">
      <c r="A5" s="5">
        <v>3</v>
      </c>
      <c r="B5" s="5">
        <v>7</v>
      </c>
      <c r="C5" s="5">
        <v>38</v>
      </c>
      <c r="E5" t="s">
        <v>19</v>
      </c>
      <c r="F5" t="e">
        <f ca="1">G12/G14</f>
        <v>#NAME?</v>
      </c>
      <c r="H5" t="s">
        <v>20</v>
      </c>
      <c r="I5" t="e">
        <f ca="1">I4+2*(F12+1)*(F12+2)/(F8-F12-2)</f>
        <v>#NAME?</v>
      </c>
      <c r="N5">
        <f>N4+1</f>
        <v>2</v>
      </c>
      <c r="O5">
        <f t="shared" si="0"/>
        <v>3</v>
      </c>
      <c r="P5">
        <f t="shared" si="0"/>
        <v>7</v>
      </c>
      <c r="Q5">
        <f t="shared" si="0"/>
        <v>38</v>
      </c>
      <c r="R5">
        <v>42.462086843810752</v>
      </c>
      <c r="S5">
        <f t="shared" ref="S5:S14" si="1">Q5-R5</f>
        <v>-4.4620868438107522</v>
      </c>
      <c r="T5" t="e">
        <f ca="1"/>
        <v>#NAME?</v>
      </c>
      <c r="U5">
        <f t="shared" ref="U5:U14" si="2">S5/SQRT($AC$6)</f>
        <v>-0.80062351567179735</v>
      </c>
      <c r="V5" t="e">
        <f t="shared" ref="V5:V14" ca="1" si="3">($AC$6-S5^2/((1-T5)*$AC$5))*$AC$5/($AC$5-1)</f>
        <v>#NAME?</v>
      </c>
      <c r="W5" t="e">
        <f t="shared" ref="W5:W14" ca="1" si="4">S5/SQRT(V5*(1-T5))</f>
        <v>#NAME?</v>
      </c>
      <c r="X5" t="e">
        <f t="shared" ref="X5:X14" ca="1" si="5">TDIST(ABS(W5),$AC$5,2)</f>
        <v>#NAME?</v>
      </c>
      <c r="Y5" t="e">
        <f ca="1">(S5^2/$AC$6)*(T5/(1-T5)^2)/$AC$7</f>
        <v>#NAME?</v>
      </c>
      <c r="Z5" t="e">
        <f t="shared" ref="Z5:Z14" ca="1" si="6">W5*SQRT(T5/(1-T5))</f>
        <v>#NAME?</v>
      </c>
      <c r="AB5" t="s">
        <v>21</v>
      </c>
      <c r="AC5" s="8">
        <f>COUNT(C4:C14)-AC7</f>
        <v>9</v>
      </c>
    </row>
    <row r="6" spans="1:29" x14ac:dyDescent="0.35">
      <c r="A6" s="5">
        <v>5</v>
      </c>
      <c r="B6" s="5">
        <v>8</v>
      </c>
      <c r="C6" s="5">
        <v>51</v>
      </c>
      <c r="E6" t="s">
        <v>22</v>
      </c>
      <c r="F6" t="e">
        <f ca="1">1-(1-F5)*F8/(F8-F12)</f>
        <v>#NAME?</v>
      </c>
      <c r="H6" s="6" t="s">
        <v>23</v>
      </c>
      <c r="I6" s="6" t="e">
        <f ca="1">F8*LN(G13/F8)+F12*LN(F8)</f>
        <v>#NAME?</v>
      </c>
      <c r="N6">
        <f t="shared" ref="N6:N14" si="7">N5+1</f>
        <v>3</v>
      </c>
      <c r="O6">
        <f t="shared" si="0"/>
        <v>5</v>
      </c>
      <c r="P6">
        <f t="shared" si="0"/>
        <v>8</v>
      </c>
      <c r="Q6">
        <f t="shared" si="0"/>
        <v>51</v>
      </c>
      <c r="R6">
        <v>56.500324044069998</v>
      </c>
      <c r="S6">
        <f t="shared" si="1"/>
        <v>-5.5003240440699983</v>
      </c>
      <c r="T6" t="e">
        <f ca="1"/>
        <v>#NAME?</v>
      </c>
      <c r="U6">
        <f t="shared" si="2"/>
        <v>-0.98691238598497599</v>
      </c>
      <c r="V6" t="e">
        <f t="shared" ca="1" si="3"/>
        <v>#NAME?</v>
      </c>
      <c r="W6" t="e">
        <f t="shared" ca="1" si="4"/>
        <v>#NAME?</v>
      </c>
      <c r="X6" t="e">
        <f t="shared" ca="1" si="5"/>
        <v>#NAME?</v>
      </c>
      <c r="Y6" t="e">
        <f t="shared" ref="Y6:Y14" ca="1" si="8">(S6^2/$AC$6)*(T6/(1-T6)^2)/$AC$7</f>
        <v>#NAME?</v>
      </c>
      <c r="Z6" t="e">
        <f t="shared" ca="1" si="6"/>
        <v>#NAME?</v>
      </c>
      <c r="AB6" t="s">
        <v>24</v>
      </c>
      <c r="AC6" s="8">
        <f>AC4/AC5</f>
        <v>31.061280334125442</v>
      </c>
    </row>
    <row r="7" spans="1:29" x14ac:dyDescent="0.35">
      <c r="A7" s="5">
        <v>8</v>
      </c>
      <c r="B7" s="5">
        <v>1</v>
      </c>
      <c r="C7" s="5">
        <v>38</v>
      </c>
      <c r="E7" t="s">
        <v>25</v>
      </c>
      <c r="F7" t="e">
        <f ca="1">SQRT(H13)</f>
        <v>#NAME?</v>
      </c>
      <c r="N7">
        <f t="shared" si="7"/>
        <v>4</v>
      </c>
      <c r="O7">
        <f t="shared" si="0"/>
        <v>8</v>
      </c>
      <c r="P7">
        <f t="shared" si="0"/>
        <v>1</v>
      </c>
      <c r="Q7">
        <f t="shared" si="0"/>
        <v>38</v>
      </c>
      <c r="R7">
        <v>44.477640959170458</v>
      </c>
      <c r="S7">
        <f t="shared" si="1"/>
        <v>-6.4776409591704578</v>
      </c>
      <c r="T7" t="e">
        <f ca="1"/>
        <v>#NAME?</v>
      </c>
      <c r="U7">
        <f t="shared" si="2"/>
        <v>-1.1622704486767812</v>
      </c>
      <c r="V7" t="e">
        <f t="shared" ca="1" si="3"/>
        <v>#NAME?</v>
      </c>
      <c r="W7" t="e">
        <f t="shared" ca="1" si="4"/>
        <v>#NAME?</v>
      </c>
      <c r="X7" t="e">
        <f t="shared" ca="1" si="5"/>
        <v>#NAME?</v>
      </c>
      <c r="Y7" t="e">
        <f t="shared" ca="1" si="8"/>
        <v>#NAME?</v>
      </c>
      <c r="Z7" t="e">
        <f t="shared" ca="1" si="6"/>
        <v>#NAME?</v>
      </c>
      <c r="AB7" t="s">
        <v>26</v>
      </c>
      <c r="AC7" s="9">
        <f>COUNT(A4:B4)</f>
        <v>2</v>
      </c>
    </row>
    <row r="8" spans="1:29" x14ac:dyDescent="0.35">
      <c r="A8" s="5">
        <v>9</v>
      </c>
      <c r="B8" s="5">
        <v>3</v>
      </c>
      <c r="C8" s="5">
        <v>55</v>
      </c>
      <c r="E8" s="6" t="s">
        <v>27</v>
      </c>
      <c r="F8" s="6">
        <f>COUNT(C4:C14)</f>
        <v>11</v>
      </c>
      <c r="N8">
        <f t="shared" si="7"/>
        <v>5</v>
      </c>
      <c r="O8">
        <f t="shared" si="0"/>
        <v>9</v>
      </c>
      <c r="P8">
        <f t="shared" si="0"/>
        <v>3</v>
      </c>
      <c r="Q8">
        <f t="shared" si="0"/>
        <v>55</v>
      </c>
      <c r="R8">
        <v>57.334413480233323</v>
      </c>
      <c r="S8">
        <f t="shared" si="1"/>
        <v>-2.334413480233323</v>
      </c>
      <c r="T8" t="e">
        <f ca="1"/>
        <v>#NAME?</v>
      </c>
      <c r="U8">
        <f t="shared" si="2"/>
        <v>-0.41885924523599594</v>
      </c>
      <c r="V8" t="e">
        <f t="shared" ca="1" si="3"/>
        <v>#NAME?</v>
      </c>
      <c r="W8" t="e">
        <f t="shared" ca="1" si="4"/>
        <v>#NAME?</v>
      </c>
      <c r="X8" t="e">
        <f t="shared" ca="1" si="5"/>
        <v>#NAME?</v>
      </c>
      <c r="Y8" t="e">
        <f t="shared" ca="1" si="8"/>
        <v>#NAME?</v>
      </c>
      <c r="Z8" t="e">
        <f t="shared" ca="1" si="6"/>
        <v>#NAME?</v>
      </c>
    </row>
    <row r="9" spans="1:29" x14ac:dyDescent="0.35">
      <c r="A9" s="5">
        <v>5</v>
      </c>
      <c r="B9" s="5">
        <v>4</v>
      </c>
      <c r="C9" s="5">
        <v>43</v>
      </c>
      <c r="N9">
        <f t="shared" si="7"/>
        <v>6</v>
      </c>
      <c r="O9">
        <f t="shared" si="0"/>
        <v>5</v>
      </c>
      <c r="P9">
        <f t="shared" si="0"/>
        <v>4</v>
      </c>
      <c r="Q9">
        <f t="shared" si="0"/>
        <v>43</v>
      </c>
      <c r="R9">
        <v>40.933246921581343</v>
      </c>
      <c r="S9">
        <f t="shared" si="1"/>
        <v>2.0667530784186567</v>
      </c>
      <c r="T9" t="e">
        <f ca="1"/>
        <v>#NAME?</v>
      </c>
      <c r="U9">
        <f t="shared" si="2"/>
        <v>0.37083346281443069</v>
      </c>
      <c r="V9" t="e">
        <f t="shared" ca="1" si="3"/>
        <v>#NAME?</v>
      </c>
      <c r="W9" t="e">
        <f t="shared" ca="1" si="4"/>
        <v>#NAME?</v>
      </c>
      <c r="X9" t="e">
        <f t="shared" ca="1" si="5"/>
        <v>#NAME?</v>
      </c>
      <c r="Y9" t="e">
        <f t="shared" ca="1" si="8"/>
        <v>#NAME?</v>
      </c>
      <c r="Z9" t="e">
        <f t="shared" ca="1" si="6"/>
        <v>#NAME?</v>
      </c>
    </row>
    <row r="10" spans="1:29" ht="15" thickBot="1" x14ac:dyDescent="0.4">
      <c r="A10" s="5">
        <v>4</v>
      </c>
      <c r="B10" s="5">
        <v>0</v>
      </c>
      <c r="C10" s="5">
        <v>25</v>
      </c>
      <c r="E10" t="s">
        <v>28</v>
      </c>
      <c r="I10" s="5" t="s">
        <v>29</v>
      </c>
      <c r="J10" s="5">
        <v>0.05</v>
      </c>
      <c r="N10">
        <f t="shared" si="7"/>
        <v>7</v>
      </c>
      <c r="O10">
        <f t="shared" si="0"/>
        <v>4</v>
      </c>
      <c r="P10">
        <f t="shared" si="0"/>
        <v>0</v>
      </c>
      <c r="Q10">
        <f t="shared" si="0"/>
        <v>25</v>
      </c>
      <c r="R10">
        <v>20.292935839274147</v>
      </c>
      <c r="S10">
        <f t="shared" si="1"/>
        <v>4.707064160725853</v>
      </c>
      <c r="T10" t="e">
        <f ca="1"/>
        <v>#NAME?</v>
      </c>
      <c r="U10">
        <f t="shared" si="2"/>
        <v>0.84457931653220986</v>
      </c>
      <c r="V10" t="e">
        <f t="shared" ca="1" si="3"/>
        <v>#NAME?</v>
      </c>
      <c r="W10" t="e">
        <f t="shared" ca="1" si="4"/>
        <v>#NAME?</v>
      </c>
      <c r="X10" t="e">
        <f t="shared" ca="1" si="5"/>
        <v>#NAME?</v>
      </c>
      <c r="Y10" t="e">
        <f t="shared" ca="1" si="8"/>
        <v>#NAME?</v>
      </c>
      <c r="Z10" t="e">
        <f t="shared" ca="1" si="6"/>
        <v>#NAME?</v>
      </c>
    </row>
    <row r="11" spans="1:29" ht="15" thickTop="1" x14ac:dyDescent="0.35">
      <c r="A11" s="5">
        <v>2</v>
      </c>
      <c r="B11" s="5">
        <v>6</v>
      </c>
      <c r="C11" s="5">
        <v>33</v>
      </c>
      <c r="E11" s="4"/>
      <c r="F11" s="4" t="s">
        <v>30</v>
      </c>
      <c r="G11" s="4" t="s">
        <v>31</v>
      </c>
      <c r="H11" s="4" t="s">
        <v>32</v>
      </c>
      <c r="I11" s="4" t="s">
        <v>33</v>
      </c>
      <c r="J11" s="4" t="s">
        <v>34</v>
      </c>
      <c r="K11" s="4" t="s">
        <v>35</v>
      </c>
      <c r="N11">
        <f t="shared" si="7"/>
        <v>8</v>
      </c>
      <c r="O11">
        <f t="shared" si="0"/>
        <v>2</v>
      </c>
      <c r="P11">
        <f t="shared" si="0"/>
        <v>6</v>
      </c>
      <c r="Q11">
        <f t="shared" si="0"/>
        <v>33</v>
      </c>
      <c r="R11">
        <v>33.497083603370058</v>
      </c>
      <c r="S11">
        <f t="shared" si="1"/>
        <v>-0.49708360337005786</v>
      </c>
      <c r="T11" t="e">
        <f ca="1"/>
        <v>#NAME?</v>
      </c>
      <c r="U11">
        <f t="shared" si="2"/>
        <v>-8.9190738782900347E-2</v>
      </c>
      <c r="V11" t="e">
        <f t="shared" ca="1" si="3"/>
        <v>#NAME?</v>
      </c>
      <c r="W11" t="e">
        <f t="shared" ca="1" si="4"/>
        <v>#NAME?</v>
      </c>
      <c r="X11" t="e">
        <f t="shared" ca="1" si="5"/>
        <v>#NAME?</v>
      </c>
      <c r="Y11" t="e">
        <f t="shared" ca="1" si="8"/>
        <v>#NAME?</v>
      </c>
      <c r="Z11" t="e">
        <f t="shared" ca="1" si="6"/>
        <v>#NAME?</v>
      </c>
    </row>
    <row r="12" spans="1:29" x14ac:dyDescent="0.35">
      <c r="A12" s="5">
        <v>8</v>
      </c>
      <c r="B12" s="5">
        <v>7</v>
      </c>
      <c r="C12" s="5">
        <v>71</v>
      </c>
      <c r="E12" t="s">
        <v>36</v>
      </c>
      <c r="F12">
        <f>COUNT(A4:B4)</f>
        <v>2</v>
      </c>
      <c r="G12" t="e">
        <f ca="1">SUMSQ(MMULT(A4:B14,F17:F18))</f>
        <v>#NAME?</v>
      </c>
      <c r="H12" t="e">
        <f ca="1">G12/F12</f>
        <v>#NAME?</v>
      </c>
      <c r="I12" t="e">
        <f ca="1">H12/H13</f>
        <v>#NAME?</v>
      </c>
      <c r="J12" t="e">
        <f ca="1">FDIST(I12,F12,F13)</f>
        <v>#NAME?</v>
      </c>
      <c r="K12" s="5" t="e">
        <f ca="1">IF(J12&lt;J10,"yes","no")</f>
        <v>#NAME?</v>
      </c>
      <c r="N12">
        <f t="shared" si="7"/>
        <v>9</v>
      </c>
      <c r="O12">
        <f t="shared" si="0"/>
        <v>8</v>
      </c>
      <c r="P12">
        <f t="shared" si="0"/>
        <v>7</v>
      </c>
      <c r="Q12">
        <f t="shared" si="0"/>
        <v>71</v>
      </c>
      <c r="R12">
        <v>67.82825664290344</v>
      </c>
      <c r="S12">
        <f t="shared" si="1"/>
        <v>3.1717433570965596</v>
      </c>
      <c r="T12" t="e">
        <f ca="1"/>
        <v>#NAME?</v>
      </c>
      <c r="U12">
        <f t="shared" si="2"/>
        <v>0.56909970743613292</v>
      </c>
      <c r="V12" t="e">
        <f t="shared" ca="1" si="3"/>
        <v>#NAME?</v>
      </c>
      <c r="W12" t="e">
        <f t="shared" ca="1" si="4"/>
        <v>#NAME?</v>
      </c>
      <c r="X12" t="e">
        <f t="shared" ca="1" si="5"/>
        <v>#NAME?</v>
      </c>
      <c r="Y12" t="e">
        <f t="shared" ca="1" si="8"/>
        <v>#NAME?</v>
      </c>
      <c r="Z12" t="e">
        <f t="shared" ca="1" si="6"/>
        <v>#NAME?</v>
      </c>
    </row>
    <row r="13" spans="1:29" x14ac:dyDescent="0.35">
      <c r="A13" s="5">
        <v>6</v>
      </c>
      <c r="B13" s="5">
        <v>4</v>
      </c>
      <c r="C13" s="5">
        <v>51</v>
      </c>
      <c r="E13" t="s">
        <v>9</v>
      </c>
      <c r="F13">
        <f>F14-F12</f>
        <v>9</v>
      </c>
      <c r="G13" t="e">
        <f ca="1">G14-G12</f>
        <v>#NAME?</v>
      </c>
      <c r="H13" t="e">
        <f ca="1">G13/F13</f>
        <v>#NAME?</v>
      </c>
      <c r="N13">
        <f t="shared" si="7"/>
        <v>10</v>
      </c>
      <c r="O13">
        <f t="shared" si="0"/>
        <v>6</v>
      </c>
      <c r="P13">
        <f t="shared" si="0"/>
        <v>4</v>
      </c>
      <c r="Q13">
        <f t="shared" si="0"/>
        <v>51</v>
      </c>
      <c r="R13">
        <v>46.006480881399874</v>
      </c>
      <c r="S13">
        <f t="shared" si="1"/>
        <v>4.9935191186001262</v>
      </c>
      <c r="T13" t="e">
        <f ca="1"/>
        <v>#NAME?</v>
      </c>
      <c r="U13">
        <f t="shared" si="2"/>
        <v>0.89597736939015293</v>
      </c>
      <c r="V13" t="e">
        <f t="shared" ca="1" si="3"/>
        <v>#NAME?</v>
      </c>
      <c r="W13" t="e">
        <f t="shared" ca="1" si="4"/>
        <v>#NAME?</v>
      </c>
      <c r="X13" t="e">
        <f t="shared" ca="1" si="5"/>
        <v>#NAME?</v>
      </c>
      <c r="Y13" t="e">
        <f t="shared" ca="1" si="8"/>
        <v>#NAME?</v>
      </c>
      <c r="Z13" t="e">
        <f t="shared" ca="1" si="6"/>
        <v>#NAME?</v>
      </c>
    </row>
    <row r="14" spans="1:29" x14ac:dyDescent="0.35">
      <c r="A14" s="10">
        <v>9</v>
      </c>
      <c r="B14" s="10">
        <v>2</v>
      </c>
      <c r="C14" s="10">
        <v>49</v>
      </c>
      <c r="E14" s="6" t="s">
        <v>37</v>
      </c>
      <c r="F14" s="6">
        <f>F8</f>
        <v>11</v>
      </c>
      <c r="G14" s="6">
        <f>SUMSQ(C4:C14)</f>
        <v>26345</v>
      </c>
      <c r="H14" s="6"/>
      <c r="I14" s="6"/>
      <c r="J14" s="6"/>
      <c r="K14" s="6"/>
      <c r="N14" s="6">
        <f t="shared" si="7"/>
        <v>11</v>
      </c>
      <c r="O14" s="6">
        <f t="shared" si="0"/>
        <v>9</v>
      </c>
      <c r="P14" s="6">
        <f t="shared" si="0"/>
        <v>2</v>
      </c>
      <c r="Q14" s="6">
        <f t="shared" si="0"/>
        <v>49</v>
      </c>
      <c r="R14" s="6">
        <v>53.442644199611159</v>
      </c>
      <c r="S14" s="6">
        <f t="shared" si="1"/>
        <v>-4.4426441996111592</v>
      </c>
      <c r="T14" s="6" t="e">
        <f ca="1"/>
        <v>#NAME?</v>
      </c>
      <c r="U14" s="6">
        <f t="shared" si="2"/>
        <v>-0.79713496004795836</v>
      </c>
      <c r="V14" s="6" t="e">
        <f t="shared" ca="1" si="3"/>
        <v>#NAME?</v>
      </c>
      <c r="W14" s="6" t="e">
        <f t="shared" ca="1" si="4"/>
        <v>#NAME?</v>
      </c>
      <c r="X14" s="6" t="e">
        <f t="shared" ca="1" si="5"/>
        <v>#NAME?</v>
      </c>
      <c r="Y14" s="6" t="e">
        <f t="shared" ca="1" si="8"/>
        <v>#NAME?</v>
      </c>
      <c r="Z14" s="6" t="e">
        <f t="shared" ca="1" si="6"/>
        <v>#NAME?</v>
      </c>
    </row>
    <row r="15" spans="1:29" ht="15" thickBot="1" x14ac:dyDescent="0.4"/>
    <row r="16" spans="1:29" ht="15" thickTop="1" x14ac:dyDescent="0.35">
      <c r="E16" s="4"/>
      <c r="F16" s="4" t="s">
        <v>38</v>
      </c>
      <c r="G16" s="4" t="s">
        <v>39</v>
      </c>
      <c r="H16" s="4" t="s">
        <v>40</v>
      </c>
      <c r="I16" s="4" t="s">
        <v>34</v>
      </c>
      <c r="J16" s="4" t="s">
        <v>41</v>
      </c>
      <c r="K16" s="4" t="s">
        <v>42</v>
      </c>
      <c r="L16" s="4" t="s">
        <v>43</v>
      </c>
    </row>
    <row r="17" spans="5:29" x14ac:dyDescent="0.35">
      <c r="E17" t="str">
        <f t="array" ref="E17:E18">TRANSPOSE(A3:B3)</f>
        <v>Color</v>
      </c>
      <c r="F17" t="e">
        <f t="array" aca="1" ref="F17:G18" ca="1">RegCoeff(A4:B14,C4:C14,FALSE)</f>
        <v>#NAME?</v>
      </c>
      <c r="G17" t="e">
        <f ca="1"/>
        <v>#NAME?</v>
      </c>
      <c r="H17" t="e">
        <f ca="1">F17/G17</f>
        <v>#NAME?</v>
      </c>
      <c r="I17" t="e">
        <f ca="1">TDIST(ABS(H17),$F$13,2)</f>
        <v>#NAME?</v>
      </c>
      <c r="J17" t="e">
        <f ca="1">F17-TINV(J$10,$F$13)*G17</f>
        <v>#NAME?</v>
      </c>
      <c r="K17" t="e">
        <f ca="1">F17+TINV(J$10,$F$13)*G17</f>
        <v>#NAME?</v>
      </c>
      <c r="L17" t="e">
        <f ca="1">VIF(A4:B14,1)</f>
        <v>#NAME?</v>
      </c>
    </row>
    <row r="18" spans="5:29" x14ac:dyDescent="0.35">
      <c r="E18" s="6" t="str">
        <v>Quality</v>
      </c>
      <c r="F18" s="6" t="e">
        <f ca="1"/>
        <v>#NAME?</v>
      </c>
      <c r="G18" s="6" t="e">
        <f ca="1"/>
        <v>#NAME?</v>
      </c>
      <c r="H18" s="6" t="e">
        <f ca="1">F18/G18</f>
        <v>#NAME?</v>
      </c>
      <c r="I18" s="6" t="e">
        <f ca="1">TDIST(ABS(H18),$F$13,2)</f>
        <v>#NAME?</v>
      </c>
      <c r="J18" s="6" t="e">
        <f ca="1">F18-TINV(J$10,$F$13)*G18</f>
        <v>#NAME?</v>
      </c>
      <c r="K18" s="6" t="e">
        <f ca="1">F18+TINV(J$10,$F$13)*G18</f>
        <v>#NAME?</v>
      </c>
      <c r="L18" s="6" t="e">
        <f ca="1">VIF(A4:B14,2)</f>
        <v>#NAME?</v>
      </c>
    </row>
    <row r="21" spans="5:29" x14ac:dyDescent="0.35">
      <c r="E21" t="s">
        <v>44</v>
      </c>
      <c r="N21" t="s">
        <v>2</v>
      </c>
    </row>
    <row r="22" spans="5:29" ht="15" thickBot="1" x14ac:dyDescent="0.4"/>
    <row r="23" spans="5:29" ht="15.5" thickTop="1" thickBot="1" x14ac:dyDescent="0.4">
      <c r="E23" s="3" t="s">
        <v>6</v>
      </c>
      <c r="F23" s="3"/>
      <c r="H23" s="3"/>
      <c r="I23" s="3"/>
      <c r="N23" s="4" t="s">
        <v>7</v>
      </c>
      <c r="O23" s="4" t="str">
        <f t="shared" ref="O23:Q34" si="9">A3</f>
        <v>Color</v>
      </c>
      <c r="P23" s="4" t="str">
        <f t="shared" si="9"/>
        <v>Quality</v>
      </c>
      <c r="Q23" s="4" t="str">
        <f t="shared" si="9"/>
        <v>Price</v>
      </c>
      <c r="R23" s="4" t="s">
        <v>8</v>
      </c>
      <c r="S23" s="4" t="s">
        <v>9</v>
      </c>
      <c r="T23" s="4" t="s">
        <v>10</v>
      </c>
      <c r="U23" s="4" t="s">
        <v>11</v>
      </c>
      <c r="V23" s="4" t="s">
        <v>12</v>
      </c>
      <c r="W23" s="4" t="s">
        <v>13</v>
      </c>
      <c r="X23" s="4" t="s">
        <v>14</v>
      </c>
      <c r="Y23" s="4" t="s">
        <v>2</v>
      </c>
      <c r="Z23" s="4" t="s">
        <v>15</v>
      </c>
    </row>
    <row r="24" spans="5:29" ht="15" thickTop="1" x14ac:dyDescent="0.35">
      <c r="E24" t="s">
        <v>16</v>
      </c>
      <c r="F24" t="e">
        <f ca="1">SQRT(F25)</f>
        <v>#NAME?</v>
      </c>
      <c r="H24" t="s">
        <v>17</v>
      </c>
      <c r="I24" t="e">
        <f ca="1">F28*LN(G33/F28)+2*(F32+1)</f>
        <v>#NAME?</v>
      </c>
      <c r="N24">
        <v>1</v>
      </c>
      <c r="O24">
        <f t="shared" si="9"/>
        <v>7</v>
      </c>
      <c r="P24">
        <f t="shared" si="9"/>
        <v>5</v>
      </c>
      <c r="Q24">
        <f t="shared" si="9"/>
        <v>65</v>
      </c>
      <c r="R24">
        <f t="array" ref="R24:R34">TREND(C4:C14,A4:B14)</f>
        <v>54.810499624828587</v>
      </c>
      <c r="S24">
        <f>Q24-R24</f>
        <v>10.189500375171413</v>
      </c>
      <c r="T24" t="e">
        <f t="array" aca="1" ref="T24:T34" ca="1">LEVERAGE(A4:B14)</f>
        <v>#NAME?</v>
      </c>
      <c r="U24">
        <f>S24/SQRT($AC$26)</f>
        <v>1.7305289072382328</v>
      </c>
      <c r="V24" t="e">
        <f ca="1">($AC$26-S24^2/((1-T24)*$AC$25))*$AC$25/($AC$25-1)</f>
        <v>#NAME?</v>
      </c>
      <c r="W24" t="e">
        <f ca="1">S24/SQRT(V24*(1-T24))</f>
        <v>#NAME?</v>
      </c>
      <c r="X24" t="e">
        <f ca="1">TDIST(ABS(W24),$AC$25,2)</f>
        <v>#NAME?</v>
      </c>
      <c r="Y24" t="e">
        <f ca="1">(S24^2/$AC$26)*(T24/(1-T24)^2)/($AC$27+1)</f>
        <v>#NAME?</v>
      </c>
      <c r="Z24" t="e">
        <f ca="1">W24*SQRT(T24/(1-T24))</f>
        <v>#NAME?</v>
      </c>
      <c r="AB24" t="s">
        <v>18</v>
      </c>
      <c r="AC24" s="7">
        <f>DEVSQ(S24:S34)</f>
        <v>277.35630934823672</v>
      </c>
    </row>
    <row r="25" spans="5:29" x14ac:dyDescent="0.35">
      <c r="E25" t="s">
        <v>19</v>
      </c>
      <c r="F25" t="e">
        <f ca="1">G32/G34</f>
        <v>#NAME?</v>
      </c>
      <c r="H25" t="s">
        <v>20</v>
      </c>
      <c r="I25" t="e">
        <f ca="1">I24+2*(F32+2)*(F32+3)/(F28-F32-3)</f>
        <v>#NAME?</v>
      </c>
      <c r="N25">
        <f>N24+1</f>
        <v>2</v>
      </c>
      <c r="O25">
        <f t="shared" si="9"/>
        <v>3</v>
      </c>
      <c r="P25">
        <f t="shared" si="9"/>
        <v>7</v>
      </c>
      <c r="Q25">
        <f t="shared" si="9"/>
        <v>38</v>
      </c>
      <c r="R25">
        <v>42.746177132655426</v>
      </c>
      <c r="S25">
        <f t="shared" ref="S25:S34" si="10">Q25-R25</f>
        <v>-4.7461771326554256</v>
      </c>
      <c r="T25" t="e">
        <f ca="1"/>
        <v>#NAME?</v>
      </c>
      <c r="U25">
        <f t="shared" ref="U25:U34" si="11">S25/SQRT($AC$26)</f>
        <v>-0.80606471608232444</v>
      </c>
      <c r="V25" t="e">
        <f t="shared" ref="V25:V34" ca="1" si="12">($AC$26-S25^2/((1-T25)*$AC$25))*$AC$25/($AC$25-1)</f>
        <v>#NAME?</v>
      </c>
      <c r="W25" t="e">
        <f t="shared" ref="W25:W34" ca="1" si="13">S25/SQRT(V25*(1-T25))</f>
        <v>#NAME?</v>
      </c>
      <c r="X25" t="e">
        <f t="shared" ref="X25:X34" ca="1" si="14">TDIST(ABS(W25),$AC$25,2)</f>
        <v>#NAME?</v>
      </c>
      <c r="Y25" t="e">
        <f t="shared" ref="Y25:Y34" ca="1" si="15">(S25^2/$AC$26)*(T25/(1-T25)^2)/($AC$27+1)</f>
        <v>#NAME?</v>
      </c>
      <c r="Z25" t="e">
        <f t="shared" ref="Z25:Z34" ca="1" si="16">W25*SQRT(T25/(1-T25))</f>
        <v>#NAME?</v>
      </c>
      <c r="AB25" t="s">
        <v>21</v>
      </c>
      <c r="AC25" s="8">
        <f>COUNT(C4:C14)-AC27-1</f>
        <v>8</v>
      </c>
    </row>
    <row r="26" spans="5:29" x14ac:dyDescent="0.35">
      <c r="E26" t="s">
        <v>22</v>
      </c>
      <c r="F26" t="e">
        <f ca="1">1-(1-F25)*(F28-1)/(F28-F32-1)</f>
        <v>#NAME?</v>
      </c>
      <c r="H26" s="6" t="s">
        <v>45</v>
      </c>
      <c r="I26" s="6" t="e">
        <f ca="1">F28*LN(G33/F28)+(F32+1)*LN(F28)</f>
        <v>#NAME?</v>
      </c>
      <c r="N26">
        <f t="shared" ref="N26:N34" si="17">N25+1</f>
        <v>3</v>
      </c>
      <c r="O26">
        <f t="shared" si="9"/>
        <v>5</v>
      </c>
      <c r="P26">
        <f t="shared" si="9"/>
        <v>8</v>
      </c>
      <c r="Q26">
        <f t="shared" si="9"/>
        <v>51</v>
      </c>
      <c r="R26">
        <v>56.295169344614344</v>
      </c>
      <c r="S26">
        <f t="shared" si="10"/>
        <v>-5.2951693446143437</v>
      </c>
      <c r="T26" t="e">
        <f ca="1"/>
        <v>#NAME?</v>
      </c>
      <c r="U26">
        <f t="shared" si="11"/>
        <v>-0.89930254499084783</v>
      </c>
      <c r="V26" t="e">
        <f t="shared" ca="1" si="12"/>
        <v>#NAME?</v>
      </c>
      <c r="W26" t="e">
        <f t="shared" ca="1" si="13"/>
        <v>#NAME?</v>
      </c>
      <c r="X26" t="e">
        <f t="shared" ca="1" si="14"/>
        <v>#NAME?</v>
      </c>
      <c r="Y26" t="e">
        <f t="shared" ca="1" si="15"/>
        <v>#NAME?</v>
      </c>
      <c r="Z26" t="e">
        <f t="shared" ca="1" si="16"/>
        <v>#NAME?</v>
      </c>
      <c r="AB26" t="s">
        <v>24</v>
      </c>
      <c r="AC26" s="8">
        <f>AC24/AC25</f>
        <v>34.66953866852959</v>
      </c>
    </row>
    <row r="27" spans="5:29" x14ac:dyDescent="0.35">
      <c r="E27" t="s">
        <v>25</v>
      </c>
      <c r="F27" t="e">
        <f ca="1">SQRT(H33)</f>
        <v>#NAME?</v>
      </c>
      <c r="N27">
        <f t="shared" si="17"/>
        <v>4</v>
      </c>
      <c r="O27">
        <f t="shared" si="9"/>
        <v>8</v>
      </c>
      <c r="P27">
        <f t="shared" si="9"/>
        <v>1</v>
      </c>
      <c r="Q27">
        <f t="shared" si="9"/>
        <v>38</v>
      </c>
      <c r="R27">
        <v>44.672126057595285</v>
      </c>
      <c r="S27">
        <f t="shared" si="10"/>
        <v>-6.6721260575952854</v>
      </c>
      <c r="T27" t="e">
        <f ca="1"/>
        <v>#NAME?</v>
      </c>
      <c r="U27">
        <f t="shared" si="11"/>
        <v>-1.1331573276684697</v>
      </c>
      <c r="V27" t="e">
        <f t="shared" ca="1" si="12"/>
        <v>#NAME?</v>
      </c>
      <c r="W27" t="e">
        <f t="shared" ca="1" si="13"/>
        <v>#NAME?</v>
      </c>
      <c r="X27" t="e">
        <f t="shared" ca="1" si="14"/>
        <v>#NAME?</v>
      </c>
      <c r="Y27" t="e">
        <f t="shared" ca="1" si="15"/>
        <v>#NAME?</v>
      </c>
      <c r="Z27" t="e">
        <f t="shared" ca="1" si="16"/>
        <v>#NAME?</v>
      </c>
      <c r="AB27" t="s">
        <v>26</v>
      </c>
      <c r="AC27" s="9">
        <f>COUNT(A4:B4)</f>
        <v>2</v>
      </c>
    </row>
    <row r="28" spans="5:29" x14ac:dyDescent="0.35">
      <c r="E28" s="6" t="s">
        <v>27</v>
      </c>
      <c r="F28" s="6">
        <f>COUNT(C4:C14)</f>
        <v>11</v>
      </c>
      <c r="N28">
        <f t="shared" si="17"/>
        <v>5</v>
      </c>
      <c r="O28">
        <f t="shared" si="9"/>
        <v>9</v>
      </c>
      <c r="P28">
        <f t="shared" si="9"/>
        <v>3</v>
      </c>
      <c r="Q28">
        <f t="shared" si="9"/>
        <v>55</v>
      </c>
      <c r="R28">
        <v>57.084245387978996</v>
      </c>
      <c r="S28">
        <f t="shared" si="10"/>
        <v>-2.0842453879789957</v>
      </c>
      <c r="T28" t="e">
        <f ca="1"/>
        <v>#NAME?</v>
      </c>
      <c r="U28">
        <f t="shared" si="11"/>
        <v>-0.3539768154348728</v>
      </c>
      <c r="V28" t="e">
        <f t="shared" ca="1" si="12"/>
        <v>#NAME?</v>
      </c>
      <c r="W28" t="e">
        <f t="shared" ca="1" si="13"/>
        <v>#NAME?</v>
      </c>
      <c r="X28" t="e">
        <f t="shared" ca="1" si="14"/>
        <v>#NAME?</v>
      </c>
      <c r="Y28" t="e">
        <f t="shared" ca="1" si="15"/>
        <v>#NAME?</v>
      </c>
      <c r="Z28" t="e">
        <f t="shared" ca="1" si="16"/>
        <v>#NAME?</v>
      </c>
    </row>
    <row r="29" spans="5:29" x14ac:dyDescent="0.35">
      <c r="N29">
        <f t="shared" si="17"/>
        <v>6</v>
      </c>
      <c r="O29">
        <f t="shared" si="9"/>
        <v>5</v>
      </c>
      <c r="P29">
        <f t="shared" si="9"/>
        <v>4</v>
      </c>
      <c r="Q29">
        <f t="shared" si="9"/>
        <v>43</v>
      </c>
      <c r="R29">
        <v>41.261507412869676</v>
      </c>
      <c r="S29">
        <f t="shared" si="10"/>
        <v>1.7384925871303238</v>
      </c>
      <c r="T29" t="e">
        <f ca="1"/>
        <v>#NAME?</v>
      </c>
      <c r="U29">
        <f t="shared" si="11"/>
        <v>0.2952560543968572</v>
      </c>
      <c r="V29" t="e">
        <f t="shared" ca="1" si="12"/>
        <v>#NAME?</v>
      </c>
      <c r="W29" t="e">
        <f t="shared" ca="1" si="13"/>
        <v>#NAME?</v>
      </c>
      <c r="X29" t="e">
        <f t="shared" ca="1" si="14"/>
        <v>#NAME?</v>
      </c>
      <c r="Y29" t="e">
        <f t="shared" ca="1" si="15"/>
        <v>#NAME?</v>
      </c>
      <c r="Z29" t="e">
        <f t="shared" ca="1" si="16"/>
        <v>#NAME?</v>
      </c>
    </row>
    <row r="30" spans="5:29" ht="15" thickBot="1" x14ac:dyDescent="0.4">
      <c r="E30" t="s">
        <v>28</v>
      </c>
      <c r="I30" s="5" t="s">
        <v>29</v>
      </c>
      <c r="J30" s="5">
        <v>0.05</v>
      </c>
      <c r="N30">
        <f t="shared" si="17"/>
        <v>7</v>
      </c>
      <c r="O30">
        <f t="shared" si="9"/>
        <v>4</v>
      </c>
      <c r="P30">
        <f t="shared" si="9"/>
        <v>0</v>
      </c>
      <c r="Q30">
        <f t="shared" si="9"/>
        <v>25</v>
      </c>
      <c r="R30">
        <v>21.332557116613632</v>
      </c>
      <c r="S30">
        <f t="shared" si="10"/>
        <v>3.6674428833863679</v>
      </c>
      <c r="T30" t="e">
        <f ca="1"/>
        <v>#NAME?</v>
      </c>
      <c r="U30">
        <f t="shared" si="11"/>
        <v>0.62285840244041202</v>
      </c>
      <c r="V30" t="e">
        <f t="shared" ca="1" si="12"/>
        <v>#NAME?</v>
      </c>
      <c r="W30" t="e">
        <f t="shared" ca="1" si="13"/>
        <v>#NAME?</v>
      </c>
      <c r="X30" t="e">
        <f t="shared" ca="1" si="14"/>
        <v>#NAME?</v>
      </c>
      <c r="Y30" t="e">
        <f t="shared" ca="1" si="15"/>
        <v>#NAME?</v>
      </c>
      <c r="Z30" t="e">
        <f t="shared" ca="1" si="16"/>
        <v>#NAME?</v>
      </c>
    </row>
    <row r="31" spans="5:29" ht="15" thickTop="1" x14ac:dyDescent="0.35">
      <c r="E31" s="4"/>
      <c r="F31" s="4" t="s">
        <v>30</v>
      </c>
      <c r="G31" s="4" t="s">
        <v>31</v>
      </c>
      <c r="H31" s="4" t="s">
        <v>32</v>
      </c>
      <c r="I31" s="4" t="s">
        <v>33</v>
      </c>
      <c r="J31" s="4" t="s">
        <v>34</v>
      </c>
      <c r="K31" s="4" t="s">
        <v>35</v>
      </c>
      <c r="N31">
        <f t="shared" si="17"/>
        <v>8</v>
      </c>
      <c r="O31">
        <f t="shared" si="9"/>
        <v>2</v>
      </c>
      <c r="P31">
        <f t="shared" si="9"/>
        <v>6</v>
      </c>
      <c r="Q31">
        <f t="shared" si="9"/>
        <v>33</v>
      </c>
      <c r="R31">
        <v>34.092473285207895</v>
      </c>
      <c r="S31">
        <f t="shared" si="10"/>
        <v>-1.0924732852078947</v>
      </c>
      <c r="T31" t="e">
        <f ca="1"/>
        <v>#NAME?</v>
      </c>
      <c r="U31">
        <f t="shared" si="11"/>
        <v>-0.18553967621851886</v>
      </c>
      <c r="V31" t="e">
        <f t="shared" ca="1" si="12"/>
        <v>#NAME?</v>
      </c>
      <c r="W31" t="e">
        <f t="shared" ca="1" si="13"/>
        <v>#NAME?</v>
      </c>
      <c r="X31" t="e">
        <f t="shared" ca="1" si="14"/>
        <v>#NAME?</v>
      </c>
      <c r="Y31" t="e">
        <f t="shared" ca="1" si="15"/>
        <v>#NAME?</v>
      </c>
      <c r="Z31" t="e">
        <f t="shared" ca="1" si="16"/>
        <v>#NAME?</v>
      </c>
    </row>
    <row r="32" spans="5:29" x14ac:dyDescent="0.35">
      <c r="E32" t="s">
        <v>36</v>
      </c>
      <c r="F32">
        <f>COUNT(A4:B4)</f>
        <v>2</v>
      </c>
      <c r="G32" t="e">
        <f ca="1">DEVSQ(MMULT(DEsign(A4:B14),F37:F39))</f>
        <v>#NAME?</v>
      </c>
      <c r="H32" t="e">
        <f ca="1">G32/F32</f>
        <v>#NAME?</v>
      </c>
      <c r="I32" t="e">
        <f ca="1">H32/H33</f>
        <v>#NAME?</v>
      </c>
      <c r="J32" t="e">
        <f ca="1">FDIST(I32,F32,F33)</f>
        <v>#NAME?</v>
      </c>
      <c r="K32" s="5" t="e">
        <f ca="1">IF(J32&lt;J30,"yes","no")</f>
        <v>#NAME?</v>
      </c>
      <c r="N32">
        <f t="shared" si="17"/>
        <v>9</v>
      </c>
      <c r="O32">
        <f t="shared" si="9"/>
        <v>8</v>
      </c>
      <c r="P32">
        <f t="shared" si="9"/>
        <v>7</v>
      </c>
      <c r="Q32">
        <f t="shared" si="9"/>
        <v>71</v>
      </c>
      <c r="R32">
        <v>67.222618955212283</v>
      </c>
      <c r="S32">
        <f t="shared" si="10"/>
        <v>3.7773810447877167</v>
      </c>
      <c r="T32" t="e">
        <f ca="1"/>
        <v>#NAME?</v>
      </c>
      <c r="U32">
        <f t="shared" si="11"/>
        <v>0.64152969733306831</v>
      </c>
      <c r="V32" t="e">
        <f t="shared" ca="1" si="12"/>
        <v>#NAME?</v>
      </c>
      <c r="W32" t="e">
        <f t="shared" ca="1" si="13"/>
        <v>#NAME?</v>
      </c>
      <c r="X32" t="e">
        <f t="shared" ca="1" si="14"/>
        <v>#NAME?</v>
      </c>
      <c r="Y32" t="e">
        <f t="shared" ca="1" si="15"/>
        <v>#NAME?</v>
      </c>
      <c r="Z32" t="e">
        <f t="shared" ca="1" si="16"/>
        <v>#NAME?</v>
      </c>
    </row>
    <row r="33" spans="5:26" x14ac:dyDescent="0.35">
      <c r="E33" t="s">
        <v>9</v>
      </c>
      <c r="F33">
        <f>F34-F32</f>
        <v>8</v>
      </c>
      <c r="G33" t="e">
        <f ca="1">G34-G32</f>
        <v>#NAME?</v>
      </c>
      <c r="H33" t="e">
        <f ca="1">G33/F33</f>
        <v>#NAME?</v>
      </c>
      <c r="N33">
        <f t="shared" si="17"/>
        <v>10</v>
      </c>
      <c r="O33">
        <f t="shared" si="9"/>
        <v>6</v>
      </c>
      <c r="P33">
        <f t="shared" si="9"/>
        <v>4</v>
      </c>
      <c r="Q33">
        <f t="shared" si="9"/>
        <v>51</v>
      </c>
      <c r="R33">
        <v>46.156795777381042</v>
      </c>
      <c r="S33">
        <f t="shared" si="10"/>
        <v>4.843204222618958</v>
      </c>
      <c r="T33" t="e">
        <f ca="1"/>
        <v>#NAME?</v>
      </c>
      <c r="U33">
        <f t="shared" si="11"/>
        <v>0.82254326535214306</v>
      </c>
      <c r="V33" t="e">
        <f t="shared" ca="1" si="12"/>
        <v>#NAME?</v>
      </c>
      <c r="W33" t="e">
        <f t="shared" ca="1" si="13"/>
        <v>#NAME?</v>
      </c>
      <c r="X33" t="e">
        <f t="shared" ca="1" si="14"/>
        <v>#NAME?</v>
      </c>
      <c r="Y33" t="e">
        <f t="shared" ca="1" si="15"/>
        <v>#NAME?</v>
      </c>
      <c r="Z33" t="e">
        <f t="shared" ca="1" si="16"/>
        <v>#NAME?</v>
      </c>
    </row>
    <row r="34" spans="5:26" x14ac:dyDescent="0.35">
      <c r="E34" s="6" t="s">
        <v>37</v>
      </c>
      <c r="F34" s="6">
        <f>F28-1</f>
        <v>10</v>
      </c>
      <c r="G34" s="6">
        <f>DEVSQ(C4:C14)</f>
        <v>1857.6363636363633</v>
      </c>
      <c r="H34" s="6"/>
      <c r="I34" s="6"/>
      <c r="J34" s="6"/>
      <c r="K34" s="6"/>
      <c r="N34" s="6">
        <f t="shared" si="17"/>
        <v>11</v>
      </c>
      <c r="O34" s="6">
        <f t="shared" si="9"/>
        <v>9</v>
      </c>
      <c r="P34" s="6">
        <f t="shared" si="9"/>
        <v>2</v>
      </c>
      <c r="Q34" s="6">
        <f t="shared" si="9"/>
        <v>49</v>
      </c>
      <c r="R34" s="6">
        <v>53.325829905042831</v>
      </c>
      <c r="S34" s="6">
        <f t="shared" si="10"/>
        <v>-4.3258299050428306</v>
      </c>
      <c r="T34" s="6" t="e">
        <f ca="1"/>
        <v>#NAME?</v>
      </c>
      <c r="U34" s="6">
        <f t="shared" si="11"/>
        <v>-0.73467524636567916</v>
      </c>
      <c r="V34" s="6" t="e">
        <f t="shared" ca="1" si="12"/>
        <v>#NAME?</v>
      </c>
      <c r="W34" s="6" t="e">
        <f t="shared" ca="1" si="13"/>
        <v>#NAME?</v>
      </c>
      <c r="X34" s="6" t="e">
        <f t="shared" ca="1" si="14"/>
        <v>#NAME?</v>
      </c>
      <c r="Y34" s="6" t="e">
        <f t="shared" ca="1" si="15"/>
        <v>#NAME?</v>
      </c>
      <c r="Z34" s="6" t="e">
        <f t="shared" ca="1" si="16"/>
        <v>#NAME?</v>
      </c>
    </row>
    <row r="35" spans="5:26" ht="15" thickBot="1" x14ac:dyDescent="0.4"/>
    <row r="36" spans="5:26" ht="15" thickTop="1" x14ac:dyDescent="0.35">
      <c r="E36" s="4"/>
      <c r="F36" s="4" t="s">
        <v>38</v>
      </c>
      <c r="G36" s="4" t="s">
        <v>39</v>
      </c>
      <c r="H36" s="4" t="s">
        <v>40</v>
      </c>
      <c r="I36" s="4" t="s">
        <v>34</v>
      </c>
      <c r="J36" s="4" t="s">
        <v>41</v>
      </c>
      <c r="K36" s="4" t="s">
        <v>42</v>
      </c>
      <c r="L36" s="4" t="s">
        <v>43</v>
      </c>
    </row>
    <row r="37" spans="5:26" x14ac:dyDescent="0.35">
      <c r="E37" t="s">
        <v>46</v>
      </c>
      <c r="F37" t="e">
        <f t="array" aca="1" ref="F37:G39" ca="1">RegCoeff(A4:B14,C4:C14)</f>
        <v>#NAME?</v>
      </c>
      <c r="G37" t="e">
        <f ca="1"/>
        <v>#NAME?</v>
      </c>
      <c r="H37" t="e">
        <f ca="1">F37/G37</f>
        <v>#NAME?</v>
      </c>
      <c r="I37" t="e">
        <f ca="1">TDIST(ABS(H37),$F$33,2)</f>
        <v>#NAME?</v>
      </c>
      <c r="J37" t="e">
        <f ca="1">F37-TINV(J$30,$F$33)*G37</f>
        <v>#NAME?</v>
      </c>
      <c r="K37" t="e">
        <f ca="1">F37+TINV(J$30,$F$33)*G37</f>
        <v>#NAME?</v>
      </c>
    </row>
    <row r="38" spans="5:26" x14ac:dyDescent="0.35">
      <c r="E38" t="str">
        <f t="array" ref="E38:E39">TRANSPOSE(A3:B3)</f>
        <v>Color</v>
      </c>
      <c r="F38" t="e">
        <f ca="1"/>
        <v>#NAME?</v>
      </c>
      <c r="G38" t="e">
        <f ca="1"/>
        <v>#NAME?</v>
      </c>
      <c r="H38" t="e">
        <f ca="1">F38/G38</f>
        <v>#NAME?</v>
      </c>
      <c r="I38" t="e">
        <f ca="1">TDIST(ABS(H38),$F$33,2)</f>
        <v>#NAME?</v>
      </c>
      <c r="J38" t="e">
        <f ca="1">F38-TINV(J$30,$F$33)*G38</f>
        <v>#NAME?</v>
      </c>
      <c r="K38" t="e">
        <f ca="1">F38+TINV(J$30,$F$33)*G38</f>
        <v>#NAME?</v>
      </c>
      <c r="L38" t="e">
        <f ca="1">VIF(A4:B14,1)</f>
        <v>#NAME?</v>
      </c>
    </row>
    <row r="39" spans="5:26" x14ac:dyDescent="0.35">
      <c r="E39" s="6" t="str">
        <v>Quality</v>
      </c>
      <c r="F39" s="6" t="e">
        <f ca="1"/>
        <v>#NAME?</v>
      </c>
      <c r="G39" s="6" t="e">
        <f ca="1"/>
        <v>#NAME?</v>
      </c>
      <c r="H39" s="6" t="e">
        <f ca="1">F39/G39</f>
        <v>#NAME?</v>
      </c>
      <c r="I39" s="6" t="e">
        <f ca="1">TDIST(ABS(H39),$F$33,2)</f>
        <v>#NAME?</v>
      </c>
      <c r="J39" s="6" t="e">
        <f ca="1">F39-TINV(J$30,$F$33)*G39</f>
        <v>#NAME?</v>
      </c>
      <c r="K39" s="6" t="e">
        <f ca="1">F39+TINV(J$30,$F$33)*G39</f>
        <v>#NAME?</v>
      </c>
      <c r="L39" s="6" t="e">
        <f ca="1">VIF(A4:B14,2)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92A1-8FEA-4D41-82E7-BACB24F18109}">
  <dimension ref="A1:AG19"/>
  <sheetViews>
    <sheetView workbookViewId="0"/>
  </sheetViews>
  <sheetFormatPr defaultRowHeight="14.5" x14ac:dyDescent="0.35"/>
  <cols>
    <col min="5" max="5" width="17.54296875" customWidth="1"/>
    <col min="10" max="10" width="9.1796875" customWidth="1"/>
    <col min="13" max="13" width="3" customWidth="1"/>
    <col min="16" max="16" width="4.81640625" customWidth="1"/>
    <col min="20" max="20" width="4" customWidth="1"/>
    <col min="22" max="22" width="6.453125" customWidth="1"/>
    <col min="25" max="25" width="13.26953125" customWidth="1"/>
    <col min="28" max="28" width="17.81640625" customWidth="1"/>
    <col min="29" max="29" width="3.26953125" customWidth="1"/>
  </cols>
  <sheetData>
    <row r="1" spans="1:33" x14ac:dyDescent="0.35">
      <c r="A1" s="1" t="s">
        <v>0</v>
      </c>
      <c r="E1" t="s">
        <v>1</v>
      </c>
      <c r="N1" t="s">
        <v>47</v>
      </c>
      <c r="Y1" t="s">
        <v>48</v>
      </c>
      <c r="AD1" t="s">
        <v>49</v>
      </c>
    </row>
    <row r="3" spans="1:33" ht="15" thickBot="1" x14ac:dyDescent="0.4">
      <c r="A3" s="2" t="s">
        <v>3</v>
      </c>
      <c r="B3" s="2" t="s">
        <v>4</v>
      </c>
      <c r="C3" s="2" t="s">
        <v>5</v>
      </c>
      <c r="E3" s="3" t="s">
        <v>6</v>
      </c>
      <c r="F3" s="3"/>
      <c r="H3" s="3"/>
      <c r="I3" s="3"/>
      <c r="N3" s="11" t="s">
        <v>50</v>
      </c>
      <c r="O3" s="11"/>
      <c r="Q3" s="5" t="s">
        <v>51</v>
      </c>
      <c r="S3" s="5" t="s">
        <v>52</v>
      </c>
      <c r="U3" s="12" t="s">
        <v>53</v>
      </c>
      <c r="V3" s="5"/>
      <c r="W3" s="12" t="s">
        <v>54</v>
      </c>
      <c r="Y3" s="13"/>
      <c r="Z3" s="14" t="s">
        <v>55</v>
      </c>
      <c r="AA3" s="14" t="s">
        <v>56</v>
      </c>
      <c r="AB3" s="13"/>
      <c r="AD3" s="5" t="s">
        <v>3</v>
      </c>
      <c r="AE3" s="5" t="s">
        <v>4</v>
      </c>
      <c r="AF3" s="5" t="s">
        <v>57</v>
      </c>
      <c r="AG3" s="5" t="s">
        <v>58</v>
      </c>
    </row>
    <row r="4" spans="1:33" ht="15" thickTop="1" x14ac:dyDescent="0.35">
      <c r="A4" s="5">
        <v>7</v>
      </c>
      <c r="B4" s="5">
        <v>5</v>
      </c>
      <c r="C4" s="5">
        <v>65</v>
      </c>
      <c r="E4" t="s">
        <v>16</v>
      </c>
      <c r="F4" t="e">
        <f ca="1">MultipleR(A4:B14,C4:C14,FALSE)</f>
        <v>#NAME?</v>
      </c>
      <c r="H4" t="s">
        <v>17</v>
      </c>
      <c r="I4" t="e">
        <f ca="1">RegAIC(A4:B14,C4:C14,FALSE)</f>
        <v>#NAME?</v>
      </c>
      <c r="N4" s="15">
        <f>A4</f>
        <v>7</v>
      </c>
      <c r="O4" s="16">
        <f>B4</f>
        <v>5</v>
      </c>
      <c r="Q4" s="17">
        <f>C4</f>
        <v>65</v>
      </c>
      <c r="S4" s="18">
        <f t="array" ref="S4:S5">MMULT(N17:O18,MMULT(TRANSPOSE(N4:O14),Q4:Q14))</f>
        <v>5.0732339598185341</v>
      </c>
      <c r="U4" s="20">
        <f t="array" ref="U4:U14">MMULT(N4:O14,S4:S5)</f>
        <v>54.971484121840554</v>
      </c>
      <c r="W4" s="18">
        <f>Q4-U4</f>
        <v>10.028515878159446</v>
      </c>
      <c r="Y4" s="13" t="s">
        <v>59</v>
      </c>
      <c r="Z4" s="22">
        <f t="array" ref="Z4:AA8">LINEST(C4:C14,A4:B14,FALSE,TRUE)</f>
        <v>3.8917692806221638</v>
      </c>
      <c r="AA4" s="22">
        <v>5.0732339598185368</v>
      </c>
      <c r="AB4" s="13"/>
      <c r="AD4" s="15">
        <v>7</v>
      </c>
      <c r="AE4" s="23">
        <v>5</v>
      </c>
      <c r="AF4" s="24">
        <f t="array" ref="AF4:AF6">TREND(C4:C14,A4:B14,AD4:AE6,FALSE)</f>
        <v>54.971484121840575</v>
      </c>
      <c r="AG4" s="27">
        <f t="array" ref="AG4:AG6">TREND(C4:C14,A4:B14,AD4:AE6)</f>
        <v>54.810499624828587</v>
      </c>
    </row>
    <row r="5" spans="1:33" ht="15" x14ac:dyDescent="0.4">
      <c r="A5" s="5">
        <v>3</v>
      </c>
      <c r="B5" s="5">
        <v>7</v>
      </c>
      <c r="C5" s="5">
        <v>38</v>
      </c>
      <c r="E5" t="s">
        <v>19</v>
      </c>
      <c r="F5" t="e">
        <f ca="1">RSquare(A4:B14,C4:C14,FALSE)</f>
        <v>#NAME?</v>
      </c>
      <c r="H5" t="s">
        <v>20</v>
      </c>
      <c r="I5" t="e">
        <f ca="1">RegAICc(A4:B14,C4:C14,FALSE)</f>
        <v>#NAME?</v>
      </c>
      <c r="N5" s="30">
        <f t="shared" ref="N5:O14" si="0">A5</f>
        <v>3</v>
      </c>
      <c r="O5" s="31">
        <f t="shared" si="0"/>
        <v>7</v>
      </c>
      <c r="Q5" s="32">
        <f t="shared" ref="Q5:Q14" si="1">C5</f>
        <v>38</v>
      </c>
      <c r="S5" s="19">
        <v>3.8917692806221638</v>
      </c>
      <c r="U5" s="33">
        <v>42.462086843810752</v>
      </c>
      <c r="W5" s="34">
        <f t="shared" ref="W5:W14" si="2">Q5-U5</f>
        <v>-4.4620868438107522</v>
      </c>
      <c r="Y5" s="13" t="s">
        <v>60</v>
      </c>
      <c r="Z5" s="22">
        <v>0.51099966783330397</v>
      </c>
      <c r="AA5" s="22">
        <v>0.39334065025077786</v>
      </c>
      <c r="AB5" s="13"/>
      <c r="AD5" s="30">
        <v>4</v>
      </c>
      <c r="AE5" s="5">
        <v>4</v>
      </c>
      <c r="AF5" s="25">
        <v>35.860012961762806</v>
      </c>
      <c r="AG5" s="28">
        <v>36.366219048358303</v>
      </c>
    </row>
    <row r="6" spans="1:33" ht="15" x14ac:dyDescent="0.4">
      <c r="A6" s="5">
        <v>5</v>
      </c>
      <c r="B6" s="5">
        <v>8</v>
      </c>
      <c r="C6" s="5">
        <v>51</v>
      </c>
      <c r="E6" t="s">
        <v>22</v>
      </c>
      <c r="F6" t="e">
        <f ca="1">AdjRSquare(A4:B14,C4:C14,FALSE)</f>
        <v>#NAME?</v>
      </c>
      <c r="H6" s="6" t="s">
        <v>23</v>
      </c>
      <c r="I6" s="6" t="e">
        <f ca="1">RegSBC(A4:B14,C4:C14,FALSE)</f>
        <v>#NAME?</v>
      </c>
      <c r="N6" s="30">
        <f t="shared" si="0"/>
        <v>5</v>
      </c>
      <c r="O6" s="31">
        <f t="shared" si="0"/>
        <v>8</v>
      </c>
      <c r="Q6" s="32">
        <f t="shared" si="1"/>
        <v>51</v>
      </c>
      <c r="U6" s="33">
        <v>56.500324044069984</v>
      </c>
      <c r="W6" s="34">
        <f t="shared" si="2"/>
        <v>-5.5003240440699841</v>
      </c>
      <c r="Y6" s="13" t="s">
        <v>19</v>
      </c>
      <c r="Z6" s="22">
        <v>0.98938882053493538</v>
      </c>
      <c r="AA6" s="22">
        <v>5.5732647823448582</v>
      </c>
      <c r="AB6" s="13" t="s">
        <v>61</v>
      </c>
      <c r="AD6" s="35">
        <v>9</v>
      </c>
      <c r="AE6" s="10">
        <v>8</v>
      </c>
      <c r="AF6" s="26">
        <v>76.793259883344149</v>
      </c>
      <c r="AG6" s="29">
        <v>75.876322802659843</v>
      </c>
    </row>
    <row r="7" spans="1:33" ht="15" x14ac:dyDescent="0.4">
      <c r="A7" s="5">
        <v>8</v>
      </c>
      <c r="B7" s="5">
        <v>1</v>
      </c>
      <c r="C7" s="5">
        <v>38</v>
      </c>
      <c r="E7" t="s">
        <v>25</v>
      </c>
      <c r="F7" t="e">
        <f ca="1">RegSE(A4:B14,C4:C14,FALSE)</f>
        <v>#NAME?</v>
      </c>
      <c r="N7" s="30">
        <f t="shared" si="0"/>
        <v>8</v>
      </c>
      <c r="O7" s="31">
        <f t="shared" si="0"/>
        <v>1</v>
      </c>
      <c r="Q7" s="32">
        <f t="shared" si="1"/>
        <v>38</v>
      </c>
      <c r="U7" s="33">
        <v>44.477640959170436</v>
      </c>
      <c r="W7" s="34">
        <f t="shared" si="2"/>
        <v>-6.4776409591704365</v>
      </c>
      <c r="Y7" s="13" t="s">
        <v>33</v>
      </c>
      <c r="Z7" s="22">
        <v>419.58103781633338</v>
      </c>
      <c r="AA7" s="22">
        <v>9</v>
      </c>
      <c r="AB7" s="13" t="s">
        <v>62</v>
      </c>
    </row>
    <row r="8" spans="1:33" ht="15" x14ac:dyDescent="0.4">
      <c r="A8" s="5">
        <v>9</v>
      </c>
      <c r="B8" s="5">
        <v>3</v>
      </c>
      <c r="C8" s="5">
        <v>55</v>
      </c>
      <c r="E8" s="6" t="s">
        <v>27</v>
      </c>
      <c r="F8" s="6">
        <f>COUNT(C4:C14)</f>
        <v>11</v>
      </c>
      <c r="N8" s="30">
        <f t="shared" si="0"/>
        <v>9</v>
      </c>
      <c r="O8" s="31">
        <f t="shared" si="0"/>
        <v>3</v>
      </c>
      <c r="Q8" s="32">
        <f t="shared" si="1"/>
        <v>55</v>
      </c>
      <c r="S8" s="5" t="s">
        <v>63</v>
      </c>
      <c r="U8" s="33">
        <v>57.334413480233302</v>
      </c>
      <c r="W8" s="34">
        <f t="shared" si="2"/>
        <v>-2.3344134802333016</v>
      </c>
      <c r="Y8" s="13" t="s">
        <v>64</v>
      </c>
      <c r="Z8" s="22">
        <v>26065.448476992871</v>
      </c>
      <c r="AA8" s="22">
        <v>279.55152300712933</v>
      </c>
      <c r="AB8" s="13" t="s">
        <v>65</v>
      </c>
    </row>
    <row r="9" spans="1:33" x14ac:dyDescent="0.35">
      <c r="A9" s="5">
        <v>5</v>
      </c>
      <c r="B9" s="5">
        <v>4</v>
      </c>
      <c r="C9" s="5">
        <v>43</v>
      </c>
      <c r="N9" s="30">
        <f t="shared" si="0"/>
        <v>5</v>
      </c>
      <c r="O9" s="31">
        <f t="shared" si="0"/>
        <v>4</v>
      </c>
      <c r="Q9" s="32">
        <f t="shared" si="1"/>
        <v>43</v>
      </c>
      <c r="S9" s="18">
        <f>SQRT(Q17)</f>
        <v>0.39334065025077763</v>
      </c>
      <c r="U9" s="33">
        <v>40.933246921581329</v>
      </c>
      <c r="W9" s="34">
        <f t="shared" si="2"/>
        <v>2.066753078418671</v>
      </c>
    </row>
    <row r="10" spans="1:33" ht="15" thickBot="1" x14ac:dyDescent="0.4">
      <c r="A10" s="5">
        <v>4</v>
      </c>
      <c r="B10" s="5">
        <v>0</v>
      </c>
      <c r="C10" s="5">
        <v>25</v>
      </c>
      <c r="E10" t="s">
        <v>28</v>
      </c>
      <c r="I10" s="5" t="s">
        <v>29</v>
      </c>
      <c r="J10" s="5">
        <v>0.05</v>
      </c>
      <c r="N10" s="30">
        <f t="shared" si="0"/>
        <v>4</v>
      </c>
      <c r="O10" s="31">
        <f t="shared" si="0"/>
        <v>0</v>
      </c>
      <c r="Q10" s="32">
        <f t="shared" si="1"/>
        <v>25</v>
      </c>
      <c r="S10" s="19">
        <f>SQRT(R18)</f>
        <v>0.51099966783330386</v>
      </c>
      <c r="U10" s="33">
        <v>20.292935839274136</v>
      </c>
      <c r="W10" s="34">
        <f t="shared" si="2"/>
        <v>4.7070641607258636</v>
      </c>
    </row>
    <row r="11" spans="1:33" ht="15" thickTop="1" x14ac:dyDescent="0.35">
      <c r="A11" s="5">
        <v>2</v>
      </c>
      <c r="B11" s="5">
        <v>6</v>
      </c>
      <c r="C11" s="5">
        <v>33</v>
      </c>
      <c r="E11" s="4"/>
      <c r="F11" s="4" t="s">
        <v>30</v>
      </c>
      <c r="G11" s="4" t="s">
        <v>31</v>
      </c>
      <c r="H11" s="4" t="s">
        <v>32</v>
      </c>
      <c r="I11" s="4" t="s">
        <v>33</v>
      </c>
      <c r="J11" s="4" t="s">
        <v>34</v>
      </c>
      <c r="K11" s="4" t="s">
        <v>35</v>
      </c>
      <c r="N11" s="30">
        <f t="shared" si="0"/>
        <v>2</v>
      </c>
      <c r="O11" s="31">
        <f t="shared" si="0"/>
        <v>6</v>
      </c>
      <c r="Q11" s="32">
        <f t="shared" si="1"/>
        <v>33</v>
      </c>
      <c r="U11" s="33">
        <v>33.497083603370051</v>
      </c>
      <c r="W11" s="34">
        <f t="shared" si="2"/>
        <v>-0.49708360337005075</v>
      </c>
    </row>
    <row r="12" spans="1:33" x14ac:dyDescent="0.35">
      <c r="A12" s="5">
        <v>8</v>
      </c>
      <c r="B12" s="5">
        <v>7</v>
      </c>
      <c r="C12" s="5">
        <v>71</v>
      </c>
      <c r="E12" t="s">
        <v>36</v>
      </c>
      <c r="F12" t="e">
        <f ca="1">dfReg(A4:B14,C4:C14,FALSE)</f>
        <v>#NAME?</v>
      </c>
      <c r="G12" t="e">
        <f ca="1">SSReg(A4:B14,C4:C14,FALSE)</f>
        <v>#NAME?</v>
      </c>
      <c r="H12" t="e">
        <f ca="1">MSReg(A4:B14,C4:C14,FALSE)</f>
        <v>#NAME?</v>
      </c>
      <c r="I12" t="e">
        <f ca="1">RegF(A4:B14,C4:C14,FALSE)</f>
        <v>#NAME?</v>
      </c>
      <c r="J12" t="e">
        <f ca="1">RegTEST(A4:B14,C4:C14,FALSE)</f>
        <v>#NAME?</v>
      </c>
      <c r="K12" s="5" t="e">
        <f ca="1">IF(J12&lt;J10,"yes","no")</f>
        <v>#NAME?</v>
      </c>
      <c r="N12" s="30">
        <f t="shared" si="0"/>
        <v>8</v>
      </c>
      <c r="O12" s="31">
        <f t="shared" si="0"/>
        <v>7</v>
      </c>
      <c r="Q12" s="32">
        <f t="shared" si="1"/>
        <v>71</v>
      </c>
      <c r="U12" s="33">
        <v>67.828256642903426</v>
      </c>
      <c r="W12" s="34">
        <f t="shared" si="2"/>
        <v>3.1717433570965738</v>
      </c>
    </row>
    <row r="13" spans="1:33" x14ac:dyDescent="0.35">
      <c r="A13" s="5">
        <v>6</v>
      </c>
      <c r="B13" s="5">
        <v>4</v>
      </c>
      <c r="C13" s="5">
        <v>51</v>
      </c>
      <c r="E13" t="s">
        <v>9</v>
      </c>
      <c r="F13" t="e">
        <f ca="1">dfRes(A4:B14,C4:C14,FALSE)</f>
        <v>#NAME?</v>
      </c>
      <c r="G13" t="e">
        <f ca="1">SSRes(A4:B14,C4:C14,FALSE)</f>
        <v>#NAME?</v>
      </c>
      <c r="H13" t="e">
        <f ca="1">MSRes(A4:B14,C4:C14,FALSE)</f>
        <v>#NAME?</v>
      </c>
      <c r="N13" s="30">
        <f t="shared" si="0"/>
        <v>6</v>
      </c>
      <c r="O13" s="31">
        <f t="shared" si="0"/>
        <v>4</v>
      </c>
      <c r="Q13" s="32">
        <f t="shared" si="1"/>
        <v>51</v>
      </c>
      <c r="U13" s="33">
        <v>46.00648088139986</v>
      </c>
      <c r="W13" s="34">
        <f t="shared" si="2"/>
        <v>4.9935191186001404</v>
      </c>
    </row>
    <row r="14" spans="1:33" x14ac:dyDescent="0.35">
      <c r="A14" s="10">
        <v>9</v>
      </c>
      <c r="B14" s="10">
        <v>2</v>
      </c>
      <c r="C14" s="10">
        <v>49</v>
      </c>
      <c r="E14" s="6" t="s">
        <v>37</v>
      </c>
      <c r="F14" s="6" t="e">
        <f ca="1">dfRegTot(A4:B14,C4:C14, FALSE)</f>
        <v>#NAME?</v>
      </c>
      <c r="G14" s="6" t="e">
        <f ca="1">SSRegTot(A4:B14,C4:C14,FALSE)</f>
        <v>#NAME?</v>
      </c>
      <c r="H14" s="6"/>
      <c r="I14" s="6"/>
      <c r="J14" s="6"/>
      <c r="K14" s="6"/>
      <c r="N14" s="35">
        <f t="shared" si="0"/>
        <v>9</v>
      </c>
      <c r="O14" s="36">
        <f t="shared" si="0"/>
        <v>2</v>
      </c>
      <c r="Q14" s="37">
        <f t="shared" si="1"/>
        <v>49</v>
      </c>
      <c r="U14" s="21">
        <v>53.442644199611138</v>
      </c>
      <c r="W14" s="19">
        <f t="shared" si="2"/>
        <v>-4.4426441996111379</v>
      </c>
    </row>
    <row r="15" spans="1:33" ht="15" thickBot="1" x14ac:dyDescent="0.4"/>
    <row r="16" spans="1:33" ht="18" thickTop="1" x14ac:dyDescent="0.45">
      <c r="E16" s="4"/>
      <c r="F16" s="4" t="s">
        <v>38</v>
      </c>
      <c r="G16" s="4" t="s">
        <v>39</v>
      </c>
      <c r="H16" s="4" t="s">
        <v>40</v>
      </c>
      <c r="I16" s="4" t="s">
        <v>34</v>
      </c>
      <c r="J16" s="4" t="s">
        <v>41</v>
      </c>
      <c r="K16" s="4" t="s">
        <v>42</v>
      </c>
      <c r="L16" s="4" t="s">
        <v>43</v>
      </c>
      <c r="N16" s="11" t="s">
        <v>66</v>
      </c>
      <c r="O16" s="11"/>
      <c r="Q16" s="11" t="s">
        <v>67</v>
      </c>
      <c r="R16" s="11"/>
    </row>
    <row r="17" spans="5:23" ht="16.5" x14ac:dyDescent="0.45">
      <c r="E17" t="str">
        <f t="array" ref="E17:E18">TRANSPOSE(A3:B3)</f>
        <v>Color</v>
      </c>
      <c r="F17" t="e">
        <f t="array" aca="1" ref="F17:G18" ca="1">RegCoeff(A4:B14,C4:C14,FALSE)</f>
        <v>#NAME?</v>
      </c>
      <c r="G17" t="e">
        <f ca="1"/>
        <v>#NAME?</v>
      </c>
      <c r="H17" t="e">
        <f ca="1">F17/G17</f>
        <v>#NAME?</v>
      </c>
      <c r="I17" t="e">
        <f ca="1">TDIST(ABS(H17),$F$13,2)</f>
        <v>#NAME?</v>
      </c>
      <c r="J17" t="e">
        <f ca="1">F17-TINV(J$10,$F$13)*G17</f>
        <v>#NAME?</v>
      </c>
      <c r="K17" t="e">
        <f ca="1">F17+TINV(J$10,$F$13)*G17</f>
        <v>#NAME?</v>
      </c>
      <c r="L17" t="e">
        <f ca="1">VIF(A4:B14,1)</f>
        <v>#NAME?</v>
      </c>
      <c r="N17" s="24">
        <f t="array" ref="N17:O18">MINVERSE(MMULT(TRANSPOSE(N4:O14),N4:O14))</f>
        <v>4.981020275900379E-3</v>
      </c>
      <c r="O17" s="27">
        <v>-4.8328858439033425E-3</v>
      </c>
      <c r="Q17" s="24">
        <f t="array" ref="Q17:R18">W19*N17:O19</f>
        <v>0.15471686713970459</v>
      </c>
      <c r="R17" s="27">
        <v>-0.1501156220203082</v>
      </c>
      <c r="V17" t="s">
        <v>68</v>
      </c>
      <c r="W17" s="18">
        <f>SUMSQ(W4:W14)</f>
        <v>279.55152300712911</v>
      </c>
    </row>
    <row r="18" spans="5:23" ht="16.5" x14ac:dyDescent="0.45">
      <c r="E18" s="6" t="str">
        <v>Quality</v>
      </c>
      <c r="F18" s="6" t="e">
        <f ca="1"/>
        <v>#NAME?</v>
      </c>
      <c r="G18" s="6" t="e">
        <f ca="1"/>
        <v>#NAME?</v>
      </c>
      <c r="H18" s="6" t="e">
        <f ca="1">F18/G18</f>
        <v>#NAME?</v>
      </c>
      <c r="I18" s="6" t="e">
        <f ca="1">TDIST(ABS(H18),$F$13,2)</f>
        <v>#NAME?</v>
      </c>
      <c r="J18" s="6" t="e">
        <f ca="1">F18-TINV(J$10,$F$13)*G18</f>
        <v>#NAME?</v>
      </c>
      <c r="K18" s="6" t="e">
        <f ca="1">F18+TINV(J$10,$F$13)*G18</f>
        <v>#NAME?</v>
      </c>
      <c r="L18" s="6" t="e">
        <f ca="1">VIF(A4:B14,2)</f>
        <v>#NAME?</v>
      </c>
      <c r="N18" s="26">
        <v>-4.8328858439033425E-3</v>
      </c>
      <c r="O18" s="29">
        <v>8.4066290158318676E-3</v>
      </c>
      <c r="Q18" s="26">
        <v>-0.1501156220203082</v>
      </c>
      <c r="R18" s="29">
        <v>0.26112066052574684</v>
      </c>
      <c r="V18" t="s">
        <v>69</v>
      </c>
      <c r="W18" s="34">
        <f>COUNT(Q4:Q14)-COUNT(N4:O4)</f>
        <v>9</v>
      </c>
    </row>
    <row r="19" spans="5:23" ht="16.5" x14ac:dyDescent="0.45">
      <c r="V19" t="s">
        <v>70</v>
      </c>
      <c r="W19" s="19">
        <f>W17/W18</f>
        <v>31.061280334125456</v>
      </c>
    </row>
  </sheetData>
  <mergeCells count="3">
    <mergeCell ref="N3:O3"/>
    <mergeCell ref="N16:O16"/>
    <mergeCell ref="Q16:R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Reg No Const</vt:lpstr>
      <vt:lpstr>Reg No Const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2025-10-15T09:15:31Z</dcterms:created>
  <dcterms:modified xsi:type="dcterms:W3CDTF">2025-10-15T09:17:59Z</dcterms:modified>
</cp:coreProperties>
</file>