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98DC8D44-3FB8-414C-BBF1-D53C4EFA97C4}" xr6:coauthVersionLast="47" xr6:coauthVersionMax="47" xr10:uidLastSave="{00000000-0000-0000-0000-000000000000}"/>
  <bookViews>
    <workbookView xWindow="-110" yWindow="-110" windowWidth="19420" windowHeight="10300" xr2:uid="{DC5EFBB8-2E77-4BC5-BECC-C45018817724}"/>
  </bookViews>
  <sheets>
    <sheet name="Title" sheetId="3" r:id="rId1"/>
    <sheet name="PMANOVA3" sheetId="1" r:id="rId2"/>
    <sheet name="PANOVA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2" l="1"/>
  <c r="D5" i="2" a="1"/>
  <c r="G9" i="2" s="1"/>
  <c r="H15" i="1"/>
  <c r="P8" i="1"/>
  <c r="H8" i="1"/>
  <c r="P7" i="1"/>
  <c r="L7" i="1"/>
  <c r="K7" i="1"/>
  <c r="J7" i="1"/>
  <c r="I7" i="1"/>
  <c r="H7" i="1"/>
  <c r="P6" i="1"/>
  <c r="L6" i="1"/>
  <c r="K6" i="1"/>
  <c r="J6" i="1"/>
  <c r="I6" i="1"/>
  <c r="H6" i="1"/>
  <c r="P5" i="1"/>
  <c r="L5" i="1"/>
  <c r="K5" i="1"/>
  <c r="J5" i="1"/>
  <c r="I5" i="1"/>
  <c r="H5" i="1"/>
  <c r="P4" i="1"/>
  <c r="U9" i="1"/>
  <c r="T9" i="1"/>
  <c r="S9" i="1"/>
  <c r="V8" i="1"/>
  <c r="U8" i="1"/>
  <c r="T8" i="1"/>
  <c r="S8" i="1"/>
  <c r="V7" i="1"/>
  <c r="U7" i="1"/>
  <c r="T7" i="1"/>
  <c r="S7" i="1"/>
  <c r="V6" i="1"/>
  <c r="U6" i="1"/>
  <c r="T6" i="1"/>
  <c r="S6" i="1"/>
  <c r="V5" i="1"/>
  <c r="V9" i="1" s="1"/>
  <c r="U5" i="1"/>
  <c r="T5" i="1"/>
  <c r="S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U4" i="1"/>
  <c r="S4" i="1"/>
  <c r="S4" i="1" a="1"/>
  <c r="T4" i="1" s="1"/>
  <c r="M6" i="1" l="1"/>
  <c r="M5" i="1"/>
  <c r="M7" i="1"/>
  <c r="D8" i="2"/>
  <c r="E8" i="2"/>
  <c r="F5" i="2"/>
  <c r="I11" i="2" s="1"/>
  <c r="F8" i="2"/>
  <c r="D7" i="2"/>
  <c r="E7" i="2"/>
  <c r="G7" i="2"/>
  <c r="D5" i="2"/>
  <c r="E5" i="2"/>
  <c r="G5" i="2"/>
  <c r="I12" i="2" s="1"/>
  <c r="G8" i="2"/>
  <c r="F7" i="2"/>
  <c r="D6" i="2"/>
  <c r="D9" i="2"/>
  <c r="E6" i="2"/>
  <c r="E9" i="2"/>
  <c r="F6" i="2"/>
  <c r="F9" i="2"/>
  <c r="G6" i="2"/>
  <c r="I9" i="2"/>
  <c r="I10" i="2"/>
  <c r="K9" i="2" l="1"/>
  <c r="K18" i="2"/>
  <c r="J9" i="2"/>
  <c r="N9" i="2"/>
  <c r="J17" i="2" s="1"/>
  <c r="M9" i="2"/>
  <c r="L9" i="2"/>
  <c r="J18" i="2"/>
  <c r="N12" i="2"/>
  <c r="M12" i="2"/>
  <c r="K12" i="2"/>
  <c r="J12" i="2"/>
  <c r="L12" i="2"/>
  <c r="K16" i="2"/>
  <c r="M11" i="2"/>
  <c r="L11" i="2"/>
  <c r="K11" i="2"/>
  <c r="J11" i="2"/>
  <c r="N11" i="2"/>
  <c r="N10" i="2"/>
  <c r="M10" i="2"/>
  <c r="K10" i="2"/>
  <c r="J10" i="2"/>
  <c r="L10" i="2"/>
  <c r="K17" i="2" l="1"/>
  <c r="L17" i="2" s="1"/>
  <c r="Q16" i="2" s="1"/>
  <c r="L18" i="2"/>
  <c r="J16" i="2"/>
  <c r="L16" i="2" s="1"/>
  <c r="O16" i="2" l="1"/>
  <c r="O10" i="2"/>
  <c r="Q10" i="2" s="1"/>
  <c r="O12" i="2"/>
  <c r="Q12" i="2" s="1"/>
  <c r="O11" i="2"/>
  <c r="Q11" i="2" s="1"/>
  <c r="O9" i="2"/>
  <c r="Q9" i="2" s="1"/>
  <c r="P16" i="2"/>
  <c r="M16" i="2"/>
  <c r="N16" i="2" s="1"/>
  <c r="P11" i="2" l="1"/>
  <c r="P9" i="2"/>
  <c r="P12" i="2"/>
  <c r="P10" i="2"/>
</calcChain>
</file>

<file path=xl/sharedStrings.xml><?xml version="1.0" encoding="utf-8"?>
<sst xmlns="http://schemas.openxmlformats.org/spreadsheetml/2006/main" count="100" uniqueCount="54">
  <si>
    <t>Permutational MANOVA</t>
  </si>
  <si>
    <t>One-way MANOVA</t>
  </si>
  <si>
    <t>Box's Test</t>
  </si>
  <si>
    <t>Group Means</t>
  </si>
  <si>
    <t>yield</t>
  </si>
  <si>
    <t>water</t>
  </si>
  <si>
    <t>herbicide</t>
  </si>
  <si>
    <t>loam</t>
  </si>
  <si>
    <t>stat</t>
  </si>
  <si>
    <t>F</t>
  </si>
  <si>
    <t>df1</t>
  </si>
  <si>
    <t>df2</t>
  </si>
  <si>
    <t>p-value</t>
  </si>
  <si>
    <t>part eta-sq</t>
  </si>
  <si>
    <t>M</t>
  </si>
  <si>
    <t>Count</t>
  </si>
  <si>
    <t>Pillai Trace</t>
  </si>
  <si>
    <t>clay</t>
  </si>
  <si>
    <t>Wilk's Lambda</t>
  </si>
  <si>
    <t>Hotelling Trace</t>
  </si>
  <si>
    <t>salty</t>
  </si>
  <si>
    <t>sandy</t>
  </si>
  <si>
    <t>Roy's Lg Root</t>
  </si>
  <si>
    <t>Total</t>
  </si>
  <si>
    <t>groups</t>
  </si>
  <si>
    <t>iterations</t>
  </si>
  <si>
    <t>Permutational MANOVA for ANOVA</t>
  </si>
  <si>
    <t>Input in Excel Anova format</t>
  </si>
  <si>
    <t>ANOVA: Single Factor</t>
  </si>
  <si>
    <t>DESCRIPTION</t>
  </si>
  <si>
    <t>Alpha</t>
  </si>
  <si>
    <t>Group</t>
  </si>
  <si>
    <t>Sum</t>
  </si>
  <si>
    <t>Mean</t>
  </si>
  <si>
    <t>Variance</t>
  </si>
  <si>
    <t>SS</t>
  </si>
  <si>
    <t>Std Err</t>
  </si>
  <si>
    <t>Lower</t>
  </si>
  <si>
    <t>Upper</t>
  </si>
  <si>
    <t>Permutation MANOVA</t>
  </si>
  <si>
    <t>ANOVA</t>
  </si>
  <si>
    <t>Sources</t>
  </si>
  <si>
    <t>df</t>
  </si>
  <si>
    <t>MS</t>
  </si>
  <si>
    <t>P value</t>
  </si>
  <si>
    <t>F crit</t>
  </si>
  <si>
    <t>RMSSE</t>
  </si>
  <si>
    <t>Omega Sq</t>
  </si>
  <si>
    <t>Between Groups</t>
  </si>
  <si>
    <t>Within Groups</t>
  </si>
  <si>
    <t>Real Statistics Using Excel</t>
  </si>
  <si>
    <t>Updated</t>
  </si>
  <si>
    <t>Copyright © 2013 - 2025 Charles Zaiontz</t>
  </si>
  <si>
    <t>Real Statistics Support for PERMANOVA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</si>
</sst>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/>
    <xf numFmtId="164" fontId="0" fillId="0" borderId="6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21" xfId="0" applyNumberFormat="1" applyBorder="1"/>
    <xf numFmtId="0" fontId="0" fillId="0" borderId="22" xfId="0" applyBorder="1"/>
    <xf numFmtId="164" fontId="0" fillId="0" borderId="2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0" fontId="0" fillId="0" borderId="2" xfId="0" applyBorder="1"/>
    <xf numFmtId="164" fontId="0" fillId="0" borderId="28" xfId="0" applyNumberFormat="1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82CCD-8E4C-4FE8-9D60-C255082B5D71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50</v>
      </c>
    </row>
    <row r="2" spans="1:2" x14ac:dyDescent="0.35">
      <c r="A2" t="s">
        <v>53</v>
      </c>
    </row>
    <row r="4" spans="1:2" x14ac:dyDescent="0.35">
      <c r="A4" t="s">
        <v>51</v>
      </c>
      <c r="B4" s="34">
        <v>45956</v>
      </c>
    </row>
    <row r="6" spans="1:2" x14ac:dyDescent="0.35">
      <c r="A6" s="35" t="s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AF056-410D-420E-91D6-511300D6839E}">
  <dimension ref="A1:V19"/>
  <sheetViews>
    <sheetView workbookViewId="0"/>
  </sheetViews>
  <sheetFormatPr defaultRowHeight="14.5" x14ac:dyDescent="0.35"/>
  <cols>
    <col min="1" max="1" width="3.26953125" customWidth="1"/>
    <col min="2" max="2" width="6.54296875" customWidth="1"/>
    <col min="6" max="6" width="4.7265625" customWidth="1"/>
    <col min="7" max="7" width="15" customWidth="1"/>
    <col min="10" max="10" width="6.7265625" customWidth="1"/>
    <col min="13" max="13" width="10.7265625" customWidth="1"/>
    <col min="14" max="14" width="4.7265625" customWidth="1"/>
    <col min="17" max="17" width="4.7265625" customWidth="1"/>
    <col min="18" max="18" width="6.7265625" customWidth="1"/>
    <col min="22" max="22" width="8" customWidth="1"/>
  </cols>
  <sheetData>
    <row r="1" spans="1:22" x14ac:dyDescent="0.35">
      <c r="B1" s="1" t="s">
        <v>0</v>
      </c>
    </row>
    <row r="2" spans="1:22" x14ac:dyDescent="0.35">
      <c r="G2" t="s">
        <v>1</v>
      </c>
      <c r="O2" t="s">
        <v>2</v>
      </c>
      <c r="R2" t="s">
        <v>3</v>
      </c>
    </row>
    <row r="3" spans="1:22" ht="15" thickBot="1" x14ac:dyDescent="0.4">
      <c r="C3" s="2" t="s">
        <v>4</v>
      </c>
      <c r="D3" s="2" t="s">
        <v>5</v>
      </c>
      <c r="E3" s="2" t="s">
        <v>6</v>
      </c>
    </row>
    <row r="4" spans="1:22" ht="15" thickTop="1" x14ac:dyDescent="0.35">
      <c r="A4">
        <v>1</v>
      </c>
      <c r="B4" t="s">
        <v>7</v>
      </c>
      <c r="C4" s="3">
        <v>76.7</v>
      </c>
      <c r="D4" s="4">
        <v>29.5</v>
      </c>
      <c r="E4" s="5">
        <v>7.5</v>
      </c>
      <c r="G4" s="6"/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O4" t="s">
        <v>14</v>
      </c>
      <c r="P4" s="7" t="e">
        <f ca="1">BOXM(B4:E19)</f>
        <v>#NAME?</v>
      </c>
      <c r="S4" s="2" t="str">
        <f t="array" ref="S4:U4">$C$3:$E$3</f>
        <v>yield</v>
      </c>
      <c r="T4" s="2" t="str">
        <v>water</v>
      </c>
      <c r="U4" s="2" t="str">
        <v>herbicide</v>
      </c>
      <c r="V4" s="2" t="s">
        <v>15</v>
      </c>
    </row>
    <row r="5" spans="1:22" x14ac:dyDescent="0.35">
      <c r="A5">
        <f>A4+1</f>
        <v>2</v>
      </c>
      <c r="B5" t="s">
        <v>7</v>
      </c>
      <c r="C5" s="8">
        <v>60.5</v>
      </c>
      <c r="D5" s="9">
        <v>32.1</v>
      </c>
      <c r="E5" s="10">
        <v>6.3</v>
      </c>
      <c r="G5" t="s">
        <v>16</v>
      </c>
      <c r="H5" t="e">
        <f ca="1">MANOVA_PillaiTrace(B4:E19)</f>
        <v>#NAME?</v>
      </c>
      <c r="I5" t="e">
        <f ca="1">MANOVA_PillaiF(B4:E19)</f>
        <v>#NAME?</v>
      </c>
      <c r="J5" t="e">
        <f ca="1">MANOVA_Pillaidf1(B4:E19)</f>
        <v>#NAME?</v>
      </c>
      <c r="K5" t="e">
        <f ca="1">MANOVA_Pillaidf2(B4:E19)</f>
        <v>#NAME?</v>
      </c>
      <c r="L5" t="e">
        <f ca="1">F_DIST_RT(I5,J5,K5)</f>
        <v>#NAME?</v>
      </c>
      <c r="M5" t="e">
        <f ca="1">I5*J5/(I5*J5+K5)</f>
        <v>#NAME?</v>
      </c>
      <c r="O5" t="s">
        <v>9</v>
      </c>
      <c r="P5" s="11" t="e">
        <f ca="1">BOXF(B4:E19)</f>
        <v>#NAME?</v>
      </c>
      <c r="R5" t="s">
        <v>17</v>
      </c>
      <c r="S5" s="12">
        <f>AVERAGEIF($B$4:$B$19,$R5,C$4:C$19)</f>
        <v>55</v>
      </c>
      <c r="T5" s="13">
        <f t="shared" ref="T5:U8" si="0">AVERAGEIF($B$4:$B$19,$R5,D$4:D$19)</f>
        <v>28.450000000000003</v>
      </c>
      <c r="U5" s="14">
        <f t="shared" si="0"/>
        <v>4.2250000000000005</v>
      </c>
      <c r="V5" s="7">
        <f>COUNTIF($B$4:$B$19,R5)</f>
        <v>4</v>
      </c>
    </row>
    <row r="6" spans="1:22" x14ac:dyDescent="0.35">
      <c r="A6">
        <f t="shared" ref="A6:A19" si="1">A5+1</f>
        <v>3</v>
      </c>
      <c r="B6" t="s">
        <v>7</v>
      </c>
      <c r="C6" s="8">
        <v>96.1</v>
      </c>
      <c r="D6" s="9">
        <v>40.700000000000003</v>
      </c>
      <c r="E6" s="10">
        <v>4.2</v>
      </c>
      <c r="G6" t="s">
        <v>18</v>
      </c>
      <c r="H6" t="e">
        <f ca="1">MANOVA_WilksLambda(B4:E19)</f>
        <v>#NAME?</v>
      </c>
      <c r="I6" t="e">
        <f ca="1">MANOVA_WilksF(B4:E19)</f>
        <v>#NAME?</v>
      </c>
      <c r="J6" t="e">
        <f ca="1">MANOVA_Wilksdf1(B4:E19)</f>
        <v>#NAME?</v>
      </c>
      <c r="K6" t="e">
        <f ca="1">MANOVA_Wilksdf2(B4:E19)</f>
        <v>#NAME?</v>
      </c>
      <c r="L6" t="e">
        <f ca="1">F_DIST_RT(I6,J6,K6)</f>
        <v>#NAME?</v>
      </c>
      <c r="M6" t="e">
        <f t="shared" ref="M6:M7" ca="1" si="2">I6*J6/(I6*J6+K6)</f>
        <v>#NAME?</v>
      </c>
      <c r="O6" t="s">
        <v>10</v>
      </c>
      <c r="P6" s="11" t="e">
        <f ca="1">BOXdf1(B4:E19)</f>
        <v>#NAME?</v>
      </c>
      <c r="R6" t="s">
        <v>7</v>
      </c>
      <c r="S6" s="15">
        <f t="shared" ref="S6:S8" si="3">AVERAGEIF($B$4:$B$19,$R6,C$4:C$19)</f>
        <v>80.349999999999994</v>
      </c>
      <c r="T6">
        <f t="shared" si="0"/>
        <v>36.85</v>
      </c>
      <c r="U6" s="16">
        <f t="shared" si="0"/>
        <v>5.7249999999999996</v>
      </c>
      <c r="V6" s="11">
        <f t="shared" ref="V6:V8" si="4">COUNTIF($B$4:$B$19,R6)</f>
        <v>4</v>
      </c>
    </row>
    <row r="7" spans="1:22" x14ac:dyDescent="0.35">
      <c r="A7">
        <f t="shared" si="1"/>
        <v>4</v>
      </c>
      <c r="B7" t="s">
        <v>7</v>
      </c>
      <c r="C7" s="8">
        <v>88.1</v>
      </c>
      <c r="D7" s="9">
        <v>45.1</v>
      </c>
      <c r="E7" s="10">
        <v>4.9000000000000004</v>
      </c>
      <c r="G7" t="s">
        <v>19</v>
      </c>
      <c r="H7" t="e">
        <f ca="1">MANOVA_HotelTrace(B4:E19)</f>
        <v>#NAME?</v>
      </c>
      <c r="I7" t="e">
        <f ca="1">MANOVA_HotelF(B4:E19)</f>
        <v>#NAME?</v>
      </c>
      <c r="J7" t="e">
        <f ca="1">MANOVA_Hoteldf1(B4:E19)</f>
        <v>#NAME?</v>
      </c>
      <c r="K7" t="e">
        <f ca="1">MANOVA_Hoteldf2(B4:E19)</f>
        <v>#NAME?</v>
      </c>
      <c r="L7" t="e">
        <f ca="1">F_DIST_RT(I7,J7,K7)</f>
        <v>#NAME?</v>
      </c>
      <c r="M7" t="e">
        <f t="shared" ca="1" si="2"/>
        <v>#NAME?</v>
      </c>
      <c r="O7" t="s">
        <v>11</v>
      </c>
      <c r="P7" s="11" t="e">
        <f ca="1">BOXdf2(B4:E19)</f>
        <v>#NAME?</v>
      </c>
      <c r="R7" t="s">
        <v>20</v>
      </c>
      <c r="S7" s="15">
        <f t="shared" si="3"/>
        <v>57.8</v>
      </c>
      <c r="T7">
        <f t="shared" si="0"/>
        <v>26.400000000000002</v>
      </c>
      <c r="U7" s="16">
        <f t="shared" si="0"/>
        <v>3.625</v>
      </c>
      <c r="V7" s="11">
        <f t="shared" si="4"/>
        <v>4</v>
      </c>
    </row>
    <row r="8" spans="1:22" x14ac:dyDescent="0.35">
      <c r="A8">
        <f t="shared" si="1"/>
        <v>5</v>
      </c>
      <c r="B8" t="s">
        <v>21</v>
      </c>
      <c r="C8" s="8">
        <v>66.900000000000006</v>
      </c>
      <c r="D8" s="9">
        <v>23.9</v>
      </c>
      <c r="E8" s="10">
        <v>1.1000000000000001</v>
      </c>
      <c r="G8" s="17" t="s">
        <v>22</v>
      </c>
      <c r="H8" s="17" t="e">
        <f ca="1">MANOVA_RoyRoot(B4:E19)</f>
        <v>#NAME?</v>
      </c>
      <c r="I8" s="17"/>
      <c r="J8" s="17"/>
      <c r="K8" s="17"/>
      <c r="L8" s="17"/>
      <c r="M8" s="17"/>
      <c r="O8" t="s">
        <v>12</v>
      </c>
      <c r="P8" s="18" t="e">
        <f ca="1">BOXTEST(B4:E19)</f>
        <v>#NAME?</v>
      </c>
      <c r="R8" t="s">
        <v>21</v>
      </c>
      <c r="S8" s="19">
        <f t="shared" si="3"/>
        <v>59.225000000000001</v>
      </c>
      <c r="T8" s="20">
        <f t="shared" si="0"/>
        <v>21.375</v>
      </c>
      <c r="U8" s="21">
        <f t="shared" si="0"/>
        <v>3.6499999999999995</v>
      </c>
      <c r="V8" s="18">
        <f t="shared" si="4"/>
        <v>4</v>
      </c>
    </row>
    <row r="9" spans="1:22" x14ac:dyDescent="0.35">
      <c r="A9">
        <f t="shared" si="1"/>
        <v>6</v>
      </c>
      <c r="B9" t="s">
        <v>21</v>
      </c>
      <c r="C9" s="8">
        <v>55.4</v>
      </c>
      <c r="D9" s="9">
        <v>29.1</v>
      </c>
      <c r="E9" s="10">
        <v>5</v>
      </c>
      <c r="R9" t="s">
        <v>23</v>
      </c>
      <c r="S9" s="22">
        <f>AVERAGE(C$4:C$19)</f>
        <v>63.093749999999986</v>
      </c>
      <c r="T9" s="23">
        <f t="shared" ref="T9:U9" si="5">AVERAGE(D$4:D$19)</f>
        <v>28.268750000000001</v>
      </c>
      <c r="U9" s="24">
        <f t="shared" si="5"/>
        <v>4.3062499999999995</v>
      </c>
      <c r="V9" s="25">
        <f>SUM(V5:V8)</f>
        <v>16</v>
      </c>
    </row>
    <row r="10" spans="1:22" x14ac:dyDescent="0.35">
      <c r="A10">
        <f t="shared" si="1"/>
        <v>7</v>
      </c>
      <c r="B10" t="s">
        <v>21</v>
      </c>
      <c r="C10" s="8">
        <v>50.5</v>
      </c>
      <c r="D10" s="9">
        <v>18</v>
      </c>
      <c r="E10" s="10">
        <v>4.8</v>
      </c>
      <c r="G10" t="s">
        <v>0</v>
      </c>
    </row>
    <row r="11" spans="1:22" x14ac:dyDescent="0.35">
      <c r="A11">
        <f t="shared" si="1"/>
        <v>8</v>
      </c>
      <c r="B11" t="s">
        <v>21</v>
      </c>
      <c r="C11" s="8">
        <v>64.099999999999994</v>
      </c>
      <c r="D11" s="9">
        <v>14.5</v>
      </c>
      <c r="E11" s="10">
        <v>3.7</v>
      </c>
    </row>
    <row r="12" spans="1:22" x14ac:dyDescent="0.35">
      <c r="A12">
        <f t="shared" si="1"/>
        <v>9</v>
      </c>
      <c r="B12" t="s">
        <v>20</v>
      </c>
      <c r="C12" s="8">
        <v>62.8</v>
      </c>
      <c r="D12" s="9">
        <v>25.9</v>
      </c>
      <c r="E12" s="10">
        <v>2.9</v>
      </c>
      <c r="G12" t="s">
        <v>24</v>
      </c>
      <c r="H12" s="7">
        <v>4</v>
      </c>
    </row>
    <row r="13" spans="1:22" x14ac:dyDescent="0.35">
      <c r="A13">
        <f t="shared" si="1"/>
        <v>10</v>
      </c>
      <c r="B13" t="s">
        <v>20</v>
      </c>
      <c r="C13" s="8">
        <v>45</v>
      </c>
      <c r="D13" s="9">
        <v>15.9</v>
      </c>
      <c r="E13" s="10">
        <v>1.2</v>
      </c>
      <c r="G13" t="s">
        <v>25</v>
      </c>
      <c r="H13" s="18">
        <v>1000</v>
      </c>
    </row>
    <row r="14" spans="1:22" x14ac:dyDescent="0.35">
      <c r="A14">
        <f t="shared" si="1"/>
        <v>11</v>
      </c>
      <c r="B14" t="s">
        <v>20</v>
      </c>
      <c r="C14" s="8">
        <v>47.8</v>
      </c>
      <c r="D14" s="9">
        <v>36.1</v>
      </c>
      <c r="E14" s="10">
        <v>4.0999999999999996</v>
      </c>
    </row>
    <row r="15" spans="1:22" x14ac:dyDescent="0.35">
      <c r="A15">
        <f t="shared" si="1"/>
        <v>12</v>
      </c>
      <c r="B15" t="s">
        <v>20</v>
      </c>
      <c r="C15" s="8">
        <v>75.599999999999994</v>
      </c>
      <c r="D15" s="9">
        <v>27.7</v>
      </c>
      <c r="E15" s="10">
        <v>6.3</v>
      </c>
      <c r="G15" t="s">
        <v>12</v>
      </c>
      <c r="H15" s="25" t="e">
        <f ca="1">PERMANOVA(C4:E19,H12,H13)</f>
        <v>#NAME?</v>
      </c>
    </row>
    <row r="16" spans="1:22" x14ac:dyDescent="0.35">
      <c r="A16">
        <f t="shared" si="1"/>
        <v>13</v>
      </c>
      <c r="B16" t="s">
        <v>17</v>
      </c>
      <c r="C16" s="8">
        <v>46.3</v>
      </c>
      <c r="D16" s="9">
        <v>31.8</v>
      </c>
      <c r="E16" s="10">
        <v>7.4</v>
      </c>
    </row>
    <row r="17" spans="1:5" x14ac:dyDescent="0.35">
      <c r="A17">
        <f t="shared" si="1"/>
        <v>14</v>
      </c>
      <c r="B17" t="s">
        <v>17</v>
      </c>
      <c r="C17" s="8">
        <v>61.5</v>
      </c>
      <c r="D17" s="9">
        <v>16.8</v>
      </c>
      <c r="E17" s="10">
        <v>1.9</v>
      </c>
    </row>
    <row r="18" spans="1:5" x14ac:dyDescent="0.35">
      <c r="A18">
        <f t="shared" si="1"/>
        <v>15</v>
      </c>
      <c r="B18" t="s">
        <v>17</v>
      </c>
      <c r="C18" s="8">
        <v>62.9</v>
      </c>
      <c r="D18" s="9">
        <v>25.8</v>
      </c>
      <c r="E18" s="10">
        <v>2.4</v>
      </c>
    </row>
    <row r="19" spans="1:5" x14ac:dyDescent="0.35">
      <c r="A19">
        <f t="shared" si="1"/>
        <v>16</v>
      </c>
      <c r="B19" t="s">
        <v>17</v>
      </c>
      <c r="C19" s="26">
        <v>49.3</v>
      </c>
      <c r="D19" s="27">
        <v>39.4</v>
      </c>
      <c r="E19" s="28">
        <v>5.2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3C744-CB6B-41A4-AE32-D00C0A0CDE35}">
  <dimension ref="A1:Q19"/>
  <sheetViews>
    <sheetView workbookViewId="0"/>
  </sheetViews>
  <sheetFormatPr defaultRowHeight="14.5" x14ac:dyDescent="0.35"/>
  <cols>
    <col min="1" max="1" width="7.453125" customWidth="1"/>
    <col min="3" max="3" width="2.7265625" customWidth="1"/>
    <col min="8" max="8" width="3" customWidth="1"/>
    <col min="9" max="9" width="16" customWidth="1"/>
  </cols>
  <sheetData>
    <row r="1" spans="1:17" x14ac:dyDescent="0.35">
      <c r="A1" s="1" t="s">
        <v>26</v>
      </c>
    </row>
    <row r="3" spans="1:17" x14ac:dyDescent="0.35">
      <c r="B3" s="2" t="s">
        <v>4</v>
      </c>
      <c r="D3" t="s">
        <v>27</v>
      </c>
    </row>
    <row r="4" spans="1:17" x14ac:dyDescent="0.35">
      <c r="A4" t="s">
        <v>7</v>
      </c>
      <c r="B4" s="29">
        <v>76.7</v>
      </c>
    </row>
    <row r="5" spans="1:17" x14ac:dyDescent="0.35">
      <c r="A5" t="s">
        <v>7</v>
      </c>
      <c r="B5" s="30">
        <v>60.5</v>
      </c>
      <c r="D5" t="e">
        <f t="array" aca="1" ref="D5:G9" ca="1">StdAnova1(A4:B19)</f>
        <v>#NAME?</v>
      </c>
      <c r="E5" t="e">
        <f ca="1"/>
        <v>#NAME?</v>
      </c>
      <c r="F5" t="e">
        <f ca="1"/>
        <v>#NAME?</v>
      </c>
      <c r="G5" t="e">
        <f ca="1"/>
        <v>#NAME?</v>
      </c>
      <c r="I5" t="s">
        <v>28</v>
      </c>
    </row>
    <row r="6" spans="1:17" x14ac:dyDescent="0.35">
      <c r="A6" t="s">
        <v>7</v>
      </c>
      <c r="B6" s="31">
        <v>96.1</v>
      </c>
      <c r="D6" s="12" t="e">
        <f ca="1"/>
        <v>#NAME?</v>
      </c>
      <c r="E6" s="13" t="e">
        <f ca="1"/>
        <v>#NAME?</v>
      </c>
      <c r="F6" s="13" t="e">
        <f ca="1"/>
        <v>#NAME?</v>
      </c>
      <c r="G6" s="14" t="e">
        <f ca="1"/>
        <v>#NAME?</v>
      </c>
    </row>
    <row r="7" spans="1:17" ht="15" thickBot="1" x14ac:dyDescent="0.4">
      <c r="A7" t="s">
        <v>7</v>
      </c>
      <c r="B7" s="31">
        <v>88.1</v>
      </c>
      <c r="D7" s="15" t="e">
        <f ca="1"/>
        <v>#NAME?</v>
      </c>
      <c r="E7" t="e">
        <f ca="1"/>
        <v>#NAME?</v>
      </c>
      <c r="F7" t="e">
        <f ca="1"/>
        <v>#NAME?</v>
      </c>
      <c r="G7" s="16" t="e">
        <f ca="1"/>
        <v>#NAME?</v>
      </c>
      <c r="I7" t="s">
        <v>29</v>
      </c>
      <c r="N7" t="s">
        <v>30</v>
      </c>
      <c r="O7">
        <v>0.05</v>
      </c>
    </row>
    <row r="8" spans="1:17" ht="15" thickTop="1" x14ac:dyDescent="0.35">
      <c r="A8" t="s">
        <v>21</v>
      </c>
      <c r="B8" s="31">
        <v>66.900000000000006</v>
      </c>
      <c r="D8" s="15" t="e">
        <f ca="1"/>
        <v>#NAME?</v>
      </c>
      <c r="E8" t="e">
        <f ca="1"/>
        <v>#NAME?</v>
      </c>
      <c r="F8" t="e">
        <f ca="1"/>
        <v>#NAME?</v>
      </c>
      <c r="G8" s="16" t="e">
        <f ca="1"/>
        <v>#NAME?</v>
      </c>
      <c r="I8" s="6" t="s">
        <v>31</v>
      </c>
      <c r="J8" s="6" t="s">
        <v>15</v>
      </c>
      <c r="K8" s="6" t="s">
        <v>32</v>
      </c>
      <c r="L8" s="6" t="s">
        <v>33</v>
      </c>
      <c r="M8" s="6" t="s">
        <v>34</v>
      </c>
      <c r="N8" s="6" t="s">
        <v>35</v>
      </c>
      <c r="O8" s="6" t="s">
        <v>36</v>
      </c>
      <c r="P8" s="6" t="s">
        <v>37</v>
      </c>
      <c r="Q8" s="6" t="s">
        <v>38</v>
      </c>
    </row>
    <row r="9" spans="1:17" x14ac:dyDescent="0.35">
      <c r="A9" t="s">
        <v>21</v>
      </c>
      <c r="B9" s="31">
        <v>55.4</v>
      </c>
      <c r="D9" s="19" t="e">
        <f ca="1"/>
        <v>#NAME?</v>
      </c>
      <c r="E9" s="20" t="e">
        <f ca="1"/>
        <v>#NAME?</v>
      </c>
      <c r="F9" s="20" t="e">
        <f ca="1"/>
        <v>#NAME?</v>
      </c>
      <c r="G9" s="21" t="e">
        <f ca="1"/>
        <v>#NAME?</v>
      </c>
      <c r="I9" t="e">
        <f ca="1">D5</f>
        <v>#NAME?</v>
      </c>
      <c r="J9">
        <f ca="1">COUNT(D6:D9)</f>
        <v>0</v>
      </c>
      <c r="K9" t="e">
        <f ca="1">SUM(D6:D9)</f>
        <v>#NAME?</v>
      </c>
      <c r="L9" t="e">
        <f ca="1">AVERAGE(D6:D9)</f>
        <v>#NAME?</v>
      </c>
      <c r="M9" t="e">
        <f ca="1">_xlfn.VAR.S(D6:D9)</f>
        <v>#NAME?</v>
      </c>
      <c r="N9" t="e">
        <f ca="1">DEVSQ(D6:D9)</f>
        <v>#NAME?</v>
      </c>
      <c r="O9" t="e">
        <f ca="1">SQRT(L17/J9)</f>
        <v>#NAME?</v>
      </c>
      <c r="P9" t="e">
        <f ca="1">L9-O9*_xlfn.T.INV.2T(O7,K17)</f>
        <v>#NAME?</v>
      </c>
      <c r="Q9" t="e">
        <f ca="1">L9+O9*_xlfn.T.INV.2T(O7,K17)</f>
        <v>#NAME?</v>
      </c>
    </row>
    <row r="10" spans="1:17" x14ac:dyDescent="0.35">
      <c r="A10" t="s">
        <v>21</v>
      </c>
      <c r="B10" s="31">
        <v>50.5</v>
      </c>
      <c r="I10" t="e">
        <f ca="1">E5</f>
        <v>#NAME?</v>
      </c>
      <c r="J10">
        <f ca="1">COUNT(E6:E9)</f>
        <v>0</v>
      </c>
      <c r="K10" t="e">
        <f ca="1">SUM(E6:E9)</f>
        <v>#NAME?</v>
      </c>
      <c r="L10" t="e">
        <f ca="1">AVERAGE(E6:E9)</f>
        <v>#NAME?</v>
      </c>
      <c r="M10" t="e">
        <f ca="1">_xlfn.VAR.S(E6:E9)</f>
        <v>#NAME?</v>
      </c>
      <c r="N10" t="e">
        <f ca="1">DEVSQ(E6:E9)</f>
        <v>#NAME?</v>
      </c>
      <c r="O10" t="e">
        <f ca="1">SQRT(L17/J10)</f>
        <v>#NAME?</v>
      </c>
      <c r="P10" t="e">
        <f ca="1">L10-O10*_xlfn.T.INV.2T(O7,K17)</f>
        <v>#NAME?</v>
      </c>
      <c r="Q10" t="e">
        <f ca="1">L10+O10*_xlfn.T.INV.2T(O7,K17)</f>
        <v>#NAME?</v>
      </c>
    </row>
    <row r="11" spans="1:17" x14ac:dyDescent="0.35">
      <c r="A11" t="s">
        <v>21</v>
      </c>
      <c r="B11" s="31">
        <v>64.099999999999994</v>
      </c>
      <c r="D11" t="s">
        <v>39</v>
      </c>
      <c r="I11" t="e">
        <f ca="1">F5</f>
        <v>#NAME?</v>
      </c>
      <c r="J11">
        <f ca="1">COUNT(F6:F9)</f>
        <v>0</v>
      </c>
      <c r="K11" t="e">
        <f ca="1">SUM(F6:F9)</f>
        <v>#NAME?</v>
      </c>
      <c r="L11" t="e">
        <f ca="1">AVERAGE(F6:F9)</f>
        <v>#NAME?</v>
      </c>
      <c r="M11" t="e">
        <f ca="1">_xlfn.VAR.S(F6:F9)</f>
        <v>#NAME?</v>
      </c>
      <c r="N11" t="e">
        <f ca="1">DEVSQ(F6:F9)</f>
        <v>#NAME?</v>
      </c>
      <c r="O11" t="e">
        <f ca="1">SQRT(L17/J11)</f>
        <v>#NAME?</v>
      </c>
      <c r="P11" t="e">
        <f ca="1">L11-O11*_xlfn.T.INV.2T(O7,K17)</f>
        <v>#NAME?</v>
      </c>
      <c r="Q11" t="e">
        <f ca="1">L11+O11*_xlfn.T.INV.2T(O7,K17)</f>
        <v>#NAME?</v>
      </c>
    </row>
    <row r="12" spans="1:17" x14ac:dyDescent="0.35">
      <c r="A12" t="s">
        <v>20</v>
      </c>
      <c r="B12" s="31">
        <v>62.8</v>
      </c>
      <c r="I12" t="e">
        <f ca="1">G5</f>
        <v>#NAME?</v>
      </c>
      <c r="J12">
        <f ca="1">COUNT(G6:G9)</f>
        <v>0</v>
      </c>
      <c r="K12" t="e">
        <f ca="1">SUM(G6:G9)</f>
        <v>#NAME?</v>
      </c>
      <c r="L12" t="e">
        <f ca="1">AVERAGE(G6:G9)</f>
        <v>#NAME?</v>
      </c>
      <c r="M12" t="e">
        <f ca="1">_xlfn.VAR.S(G6:G9)</f>
        <v>#NAME?</v>
      </c>
      <c r="N12" t="e">
        <f ca="1">DEVSQ(G6:G9)</f>
        <v>#NAME?</v>
      </c>
      <c r="O12" t="e">
        <f ca="1">SQRT(L17/J12)</f>
        <v>#NAME?</v>
      </c>
      <c r="P12" t="e">
        <f ca="1">L12-O12*_xlfn.T.INV.2T(O7,K17)</f>
        <v>#NAME?</v>
      </c>
      <c r="Q12" t="e">
        <f ca="1">L12+O12*_xlfn.T.INV.2T(O7,K17)</f>
        <v>#NAME?</v>
      </c>
    </row>
    <row r="13" spans="1:17" x14ac:dyDescent="0.35">
      <c r="A13" t="s">
        <v>20</v>
      </c>
      <c r="B13" s="31">
        <v>45</v>
      </c>
      <c r="D13" t="s">
        <v>24</v>
      </c>
      <c r="E13" s="7">
        <v>4</v>
      </c>
      <c r="I13" s="32"/>
      <c r="J13" s="32"/>
      <c r="K13" s="32"/>
      <c r="L13" s="32"/>
      <c r="M13" s="32"/>
      <c r="N13" s="32"/>
      <c r="O13" s="32"/>
      <c r="P13" s="32"/>
      <c r="Q13" s="32"/>
    </row>
    <row r="14" spans="1:17" ht="15" thickBot="1" x14ac:dyDescent="0.4">
      <c r="A14" t="s">
        <v>20</v>
      </c>
      <c r="B14" s="31">
        <v>47.8</v>
      </c>
      <c r="D14" t="s">
        <v>25</v>
      </c>
      <c r="E14" s="18">
        <v>1000</v>
      </c>
      <c r="I14" t="s">
        <v>40</v>
      </c>
    </row>
    <row r="15" spans="1:17" ht="15" thickTop="1" x14ac:dyDescent="0.35">
      <c r="A15" t="s">
        <v>20</v>
      </c>
      <c r="B15" s="31">
        <v>75.599999999999994</v>
      </c>
      <c r="I15" s="6" t="s">
        <v>41</v>
      </c>
      <c r="J15" s="6" t="s">
        <v>35</v>
      </c>
      <c r="K15" s="6" t="s">
        <v>42</v>
      </c>
      <c r="L15" s="6" t="s">
        <v>43</v>
      </c>
      <c r="M15" s="6" t="s">
        <v>9</v>
      </c>
      <c r="N15" s="6" t="s">
        <v>44</v>
      </c>
      <c r="O15" s="6" t="s">
        <v>45</v>
      </c>
      <c r="P15" s="6" t="s">
        <v>46</v>
      </c>
      <c r="Q15" s="6" t="s">
        <v>47</v>
      </c>
    </row>
    <row r="16" spans="1:17" x14ac:dyDescent="0.35">
      <c r="A16" t="s">
        <v>17</v>
      </c>
      <c r="B16" s="31">
        <v>46.3</v>
      </c>
      <c r="D16" t="s">
        <v>12</v>
      </c>
      <c r="E16" s="25" t="e">
        <f ca="1">PERMANOVA(B4:B19,E13,E14)</f>
        <v>#NAME?</v>
      </c>
      <c r="I16" t="s">
        <v>48</v>
      </c>
      <c r="J16" t="e">
        <f ca="1">J18-J17</f>
        <v>#NAME?</v>
      </c>
      <c r="K16">
        <f ca="1">COUNTA(I9:I12)-1</f>
        <v>3</v>
      </c>
      <c r="L16" t="e">
        <f ca="1">J16/K16</f>
        <v>#NAME?</v>
      </c>
      <c r="M16" t="e">
        <f ca="1">L16/L17</f>
        <v>#NAME?</v>
      </c>
      <c r="N16" t="e">
        <f ca="1">_xlfn.F.DIST.RT(M16,K16,K17)</f>
        <v>#NAME?</v>
      </c>
      <c r="O16" t="e">
        <f ca="1">_xlfn.F.INV.RT(O7,K16,K17)</f>
        <v>#NUM!</v>
      </c>
      <c r="P16" t="e">
        <f ca="1">SQRT(DEVSQ(L9:L12)/(L17*K16))</f>
        <v>#NAME?</v>
      </c>
      <c r="Q16" t="e">
        <f ca="1">(J18-K18*L17)/(J18+L17)</f>
        <v>#NAME?</v>
      </c>
    </row>
    <row r="17" spans="1:17" x14ac:dyDescent="0.35">
      <c r="A17" t="s">
        <v>17</v>
      </c>
      <c r="B17" s="31">
        <v>61.5</v>
      </c>
      <c r="I17" t="s">
        <v>49</v>
      </c>
      <c r="J17" t="e">
        <f ca="1">SUM(N9:N12)</f>
        <v>#NAME?</v>
      </c>
      <c r="K17">
        <f ca="1">K18-K16</f>
        <v>-4</v>
      </c>
      <c r="L17" t="e">
        <f ca="1">J17/K17</f>
        <v>#NAME?</v>
      </c>
    </row>
    <row r="18" spans="1:17" x14ac:dyDescent="0.35">
      <c r="A18" t="s">
        <v>17</v>
      </c>
      <c r="B18" s="31">
        <v>62.9</v>
      </c>
      <c r="I18" s="17" t="s">
        <v>23</v>
      </c>
      <c r="J18" s="17" t="e">
        <f ca="1">DEVSQ(D6:G9)</f>
        <v>#NAME?</v>
      </c>
      <c r="K18" s="17">
        <f ca="1">COUNT(D6:G9)-1</f>
        <v>-1</v>
      </c>
      <c r="L18" s="17" t="e">
        <f ca="1">J18/K18</f>
        <v>#NAME?</v>
      </c>
      <c r="M18" s="17"/>
      <c r="N18" s="17"/>
      <c r="O18" s="17"/>
      <c r="P18" s="17"/>
      <c r="Q18" s="17"/>
    </row>
    <row r="19" spans="1:17" x14ac:dyDescent="0.35">
      <c r="A19" t="s">
        <v>17</v>
      </c>
      <c r="B19" s="33">
        <v>49.3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PMANOVA3</vt:lpstr>
      <vt:lpstr>PANOVA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2025-10-26T09:42:32Z</dcterms:created>
  <dcterms:modified xsi:type="dcterms:W3CDTF">2025-10-26T09:44:43Z</dcterms:modified>
</cp:coreProperties>
</file>