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874A09E1-5C24-49A6-B0C1-420868F8C426}" xr6:coauthVersionLast="47" xr6:coauthVersionMax="47" xr10:uidLastSave="{00000000-0000-0000-0000-000000000000}"/>
  <bookViews>
    <workbookView xWindow="-110" yWindow="-110" windowWidth="19420" windowHeight="10300" xr2:uid="{45092368-6A1B-4D11-AC51-B0A23D206EF7}"/>
  </bookViews>
  <sheets>
    <sheet name="Title" sheetId="2" r:id="rId1"/>
    <sheet name="Hotel 2P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1" l="1"/>
  <c r="U36" i="1"/>
  <c r="U35" i="1"/>
  <c r="U34" i="1"/>
  <c r="X37" i="1"/>
  <c r="W33" i="1" a="1"/>
  <c r="X33" i="1" s="1"/>
  <c r="U33" i="1"/>
  <c r="AD18" i="1"/>
  <c r="AB18" i="1"/>
  <c r="AA18" i="1"/>
  <c r="Z18" i="1"/>
  <c r="AD17" i="1"/>
  <c r="Z16" i="1"/>
  <c r="AD15" i="1"/>
  <c r="AC15" i="1"/>
  <c r="AB15" i="1"/>
  <c r="AA15" i="1"/>
  <c r="Z14" i="1" a="1"/>
  <c r="AC18" i="1" s="1"/>
  <c r="T14" i="1" a="1"/>
  <c r="W17" i="1" s="1"/>
  <c r="AK39" i="1"/>
  <c r="AJ39" i="1"/>
  <c r="R30" i="1"/>
  <c r="Q30" i="1"/>
  <c r="P30" i="1"/>
  <c r="O30" i="1"/>
  <c r="N30" i="1"/>
  <c r="AG29" i="1"/>
  <c r="AH29" i="1" s="1"/>
  <c r="AI29" i="1" s="1"/>
  <c r="AJ29" i="1" s="1"/>
  <c r="AK29" i="1" s="1"/>
  <c r="R29" i="1"/>
  <c r="Q29" i="1"/>
  <c r="P29" i="1"/>
  <c r="O29" i="1"/>
  <c r="N29" i="1"/>
  <c r="R28" i="1"/>
  <c r="Q28" i="1"/>
  <c r="P28" i="1"/>
  <c r="O28" i="1"/>
  <c r="N28" i="1"/>
  <c r="R27" i="1"/>
  <c r="Q27" i="1"/>
  <c r="P27" i="1"/>
  <c r="O27" i="1"/>
  <c r="N27" i="1"/>
  <c r="R26" i="1"/>
  <c r="Q26" i="1"/>
  <c r="P26" i="1"/>
  <c r="O26" i="1"/>
  <c r="N26" i="1"/>
  <c r="R25" i="1"/>
  <c r="Q25" i="1"/>
  <c r="P25" i="1"/>
  <c r="O25" i="1"/>
  <c r="N25" i="1"/>
  <c r="R24" i="1"/>
  <c r="Q24" i="1"/>
  <c r="P24" i="1"/>
  <c r="O24" i="1"/>
  <c r="N24" i="1"/>
  <c r="R23" i="1"/>
  <c r="Q23" i="1"/>
  <c r="Q33" i="1" s="1"/>
  <c r="P23" i="1"/>
  <c r="O23" i="1"/>
  <c r="N23" i="1"/>
  <c r="R22" i="1"/>
  <c r="Q22" i="1"/>
  <c r="P22" i="1"/>
  <c r="O22" i="1"/>
  <c r="N22" i="1"/>
  <c r="R21" i="1"/>
  <c r="Q21" i="1"/>
  <c r="P21" i="1"/>
  <c r="O21" i="1"/>
  <c r="N21" i="1"/>
  <c r="R20" i="1"/>
  <c r="Q20" i="1"/>
  <c r="P20" i="1"/>
  <c r="O20" i="1"/>
  <c r="O32" i="1" s="1"/>
  <c r="N20" i="1"/>
  <c r="R19" i="1"/>
  <c r="Q19" i="1"/>
  <c r="P19" i="1"/>
  <c r="O19" i="1"/>
  <c r="N19" i="1"/>
  <c r="R18" i="1"/>
  <c r="Q18" i="1"/>
  <c r="P18" i="1"/>
  <c r="O18" i="1"/>
  <c r="N18" i="1"/>
  <c r="R17" i="1"/>
  <c r="Q17" i="1"/>
  <c r="P17" i="1"/>
  <c r="O17" i="1"/>
  <c r="N17" i="1"/>
  <c r="R16" i="1"/>
  <c r="Q16" i="1"/>
  <c r="P16" i="1"/>
  <c r="O16" i="1"/>
  <c r="N16" i="1"/>
  <c r="R15" i="1"/>
  <c r="Q15" i="1"/>
  <c r="P15" i="1"/>
  <c r="O15" i="1"/>
  <c r="N15" i="1"/>
  <c r="R14" i="1"/>
  <c r="Q14" i="1"/>
  <c r="P14" i="1"/>
  <c r="O14" i="1"/>
  <c r="N14" i="1"/>
  <c r="AH13" i="1"/>
  <c r="R13" i="1"/>
  <c r="Q13" i="1"/>
  <c r="P13" i="1"/>
  <c r="O13" i="1"/>
  <c r="N13" i="1"/>
  <c r="R12" i="1"/>
  <c r="Q12" i="1"/>
  <c r="P12" i="1"/>
  <c r="O12" i="1"/>
  <c r="N12" i="1"/>
  <c r="R11" i="1"/>
  <c r="Q11" i="1"/>
  <c r="P11" i="1"/>
  <c r="O11" i="1"/>
  <c r="N11" i="1"/>
  <c r="R10" i="1"/>
  <c r="Q10" i="1"/>
  <c r="P10" i="1"/>
  <c r="O10" i="1"/>
  <c r="N10" i="1"/>
  <c r="R9" i="1"/>
  <c r="Q9" i="1"/>
  <c r="P9" i="1"/>
  <c r="O9" i="1"/>
  <c r="N9" i="1"/>
  <c r="U20" i="1" s="1"/>
  <c r="R8" i="1"/>
  <c r="Q8" i="1"/>
  <c r="P8" i="1"/>
  <c r="O8" i="1"/>
  <c r="N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R7" i="1"/>
  <c r="R33" i="1" s="1"/>
  <c r="Q7" i="1"/>
  <c r="P7" i="1"/>
  <c r="O7" i="1"/>
  <c r="N7" i="1"/>
  <c r="A7" i="1"/>
  <c r="AK6" i="1"/>
  <c r="AK23" i="1" s="1"/>
  <c r="AJ6" i="1"/>
  <c r="AJ23" i="1" s="1"/>
  <c r="AI6" i="1"/>
  <c r="AI39" i="1" s="1"/>
  <c r="AH6" i="1"/>
  <c r="AH39" i="1" s="1"/>
  <c r="AG6" i="1"/>
  <c r="AG23" i="1" s="1"/>
  <c r="R6" i="1"/>
  <c r="R32" i="1" s="1"/>
  <c r="Q6" i="1"/>
  <c r="Q32" i="1" s="1"/>
  <c r="P6" i="1"/>
  <c r="P33" i="1" s="1"/>
  <c r="O6" i="1"/>
  <c r="O33" i="1" s="1"/>
  <c r="N6" i="1"/>
  <c r="N32" i="1" s="1"/>
  <c r="V15" i="1" l="1"/>
  <c r="X14" i="1"/>
  <c r="V18" i="1"/>
  <c r="AB16" i="1"/>
  <c r="W15" i="1"/>
  <c r="Z14" i="1"/>
  <c r="AC16" i="1"/>
  <c r="X17" i="1"/>
  <c r="W14" i="1"/>
  <c r="T15" i="1"/>
  <c r="AA14" i="1"/>
  <c r="T16" i="1"/>
  <c r="Z17" i="1"/>
  <c r="X16" i="1"/>
  <c r="AC14" i="1"/>
  <c r="AA17" i="1"/>
  <c r="T18" i="1"/>
  <c r="X15" i="1"/>
  <c r="T17" i="1"/>
  <c r="AD14" i="1"/>
  <c r="AB17" i="1"/>
  <c r="V17" i="1"/>
  <c r="V14" i="1"/>
  <c r="U18" i="1"/>
  <c r="AD16" i="1"/>
  <c r="AB14" i="1"/>
  <c r="U17" i="1"/>
  <c r="Z15" i="1"/>
  <c r="AC17" i="1"/>
  <c r="W34" i="1"/>
  <c r="X34" i="1"/>
  <c r="W35" i="1"/>
  <c r="X35" i="1"/>
  <c r="U16" i="1"/>
  <c r="W18" i="1"/>
  <c r="W36" i="1"/>
  <c r="T14" i="1"/>
  <c r="V16" i="1"/>
  <c r="X18" i="1"/>
  <c r="X36" i="1"/>
  <c r="U14" i="1"/>
  <c r="W16" i="1"/>
  <c r="AA16" i="1"/>
  <c r="W37" i="1"/>
  <c r="W33" i="1"/>
  <c r="U15" i="1"/>
  <c r="AG10" i="1"/>
  <c r="AG25" i="1"/>
  <c r="AH25" i="1" s="1"/>
  <c r="AI25" i="1" s="1"/>
  <c r="AJ25" i="1" s="1"/>
  <c r="AK25" i="1" s="1"/>
  <c r="AI23" i="1"/>
  <c r="AH23" i="1"/>
  <c r="AI13" i="1"/>
  <c r="N33" i="1"/>
  <c r="AG39" i="1"/>
  <c r="P32" i="1"/>
  <c r="V6" i="1" s="1" a="1"/>
  <c r="U21" i="1"/>
  <c r="W9" i="1" l="1"/>
  <c r="W7" i="1"/>
  <c r="V7" i="1"/>
  <c r="W6" i="1"/>
  <c r="V10" i="1"/>
  <c r="V9" i="1"/>
  <c r="V6" i="1"/>
  <c r="W10" i="1"/>
  <c r="W8" i="1"/>
  <c r="V8" i="1"/>
  <c r="AG12" i="1"/>
  <c r="AH10" i="1"/>
  <c r="AG43" i="1"/>
  <c r="AJ13" i="1"/>
  <c r="U24" i="1"/>
  <c r="AG26" i="1"/>
  <c r="U25" i="1"/>
  <c r="AG28" i="1" s="1"/>
  <c r="AH28" i="1" s="1"/>
  <c r="AI28" i="1" s="1"/>
  <c r="AJ28" i="1" s="1"/>
  <c r="AK28" i="1" s="1"/>
  <c r="AH43" i="1" l="1"/>
  <c r="AH12" i="1"/>
  <c r="AI10" i="1"/>
  <c r="AG45" i="1"/>
  <c r="AG15" i="1"/>
  <c r="AG7" i="1" a="1"/>
  <c r="U22" i="1" a="1"/>
  <c r="U22" i="1" s="1"/>
  <c r="U23" i="1" s="1"/>
  <c r="U28" i="1" s="1"/>
  <c r="U29" i="1" s="1"/>
  <c r="AH26" i="1"/>
  <c r="AG46" i="1"/>
  <c r="AG27" i="1"/>
  <c r="AH27" i="1" s="1"/>
  <c r="AI27" i="1" s="1"/>
  <c r="AJ27" i="1" s="1"/>
  <c r="AK27" i="1" s="1"/>
  <c r="U27" i="1"/>
  <c r="AG30" i="1" s="1"/>
  <c r="AH30" i="1" s="1"/>
  <c r="AI30" i="1" s="1"/>
  <c r="AJ30" i="1" s="1"/>
  <c r="AK30" i="1" s="1"/>
  <c r="AK13" i="1"/>
  <c r="AG31" i="1" l="1"/>
  <c r="AH31" i="1"/>
  <c r="AI26" i="1"/>
  <c r="AK8" i="1"/>
  <c r="AK9" i="1"/>
  <c r="AJ8" i="1"/>
  <c r="AK7" i="1"/>
  <c r="AK40" i="1" s="1"/>
  <c r="AH7" i="1"/>
  <c r="AH40" i="1" s="1"/>
  <c r="AI9" i="1"/>
  <c r="AI8" i="1"/>
  <c r="AI7" i="1"/>
  <c r="AI40" i="1" s="1"/>
  <c r="AJ9" i="1"/>
  <c r="AG9" i="1"/>
  <c r="AH8" i="1"/>
  <c r="AG8" i="1"/>
  <c r="AJ7" i="1"/>
  <c r="AJ40" i="1" s="1"/>
  <c r="AG7" i="1"/>
  <c r="AG40" i="1" s="1"/>
  <c r="AH9" i="1"/>
  <c r="AI12" i="1"/>
  <c r="AJ10" i="1"/>
  <c r="AI43" i="1"/>
  <c r="AG48" i="1"/>
  <c r="AH46" i="1"/>
  <c r="AH45" i="1"/>
  <c r="AH15" i="1"/>
  <c r="AH14" i="1" l="1"/>
  <c r="AH16" i="1" s="1"/>
  <c r="AH17" i="1" s="1"/>
  <c r="AH41" i="1"/>
  <c r="AH24" i="1"/>
  <c r="AJ42" i="1"/>
  <c r="AJ11" i="1"/>
  <c r="AH48" i="1"/>
  <c r="AI46" i="1"/>
  <c r="AH11" i="1"/>
  <c r="AH42" i="1"/>
  <c r="AI24" i="1"/>
  <c r="AI41" i="1"/>
  <c r="AI14" i="1"/>
  <c r="AI16" i="1" s="1"/>
  <c r="AI17" i="1" s="1"/>
  <c r="AI42" i="1"/>
  <c r="AI11" i="1"/>
  <c r="AK10" i="1"/>
  <c r="AJ12" i="1"/>
  <c r="AJ43" i="1"/>
  <c r="AI45" i="1"/>
  <c r="AI15" i="1"/>
  <c r="AI18" i="1" s="1"/>
  <c r="AJ41" i="1"/>
  <c r="AJ24" i="1"/>
  <c r="AJ14" i="1"/>
  <c r="AK42" i="1"/>
  <c r="AK41" i="1"/>
  <c r="AK14" i="1"/>
  <c r="AK24" i="1"/>
  <c r="AG19" i="1"/>
  <c r="AG24" i="1"/>
  <c r="AG14" i="1"/>
  <c r="AG16" i="1" s="1"/>
  <c r="AG17" i="1" s="1"/>
  <c r="AG41" i="1"/>
  <c r="AI31" i="1"/>
  <c r="AJ26" i="1"/>
  <c r="AG42" i="1"/>
  <c r="AG11" i="1"/>
  <c r="AJ47" i="1" l="1"/>
  <c r="AI33" i="1"/>
  <c r="AI34" i="1"/>
  <c r="AI35" i="1" s="1"/>
  <c r="AK12" i="1"/>
  <c r="AK43" i="1"/>
  <c r="AK47" i="1" s="1"/>
  <c r="AJ32" i="1"/>
  <c r="AJ44" i="1"/>
  <c r="AJ31" i="1"/>
  <c r="AJ34" i="1" s="1"/>
  <c r="AK26" i="1"/>
  <c r="AK31" i="1" s="1"/>
  <c r="AK11" i="1"/>
  <c r="AI32" i="1"/>
  <c r="AI44" i="1"/>
  <c r="AH44" i="1"/>
  <c r="AH32" i="1"/>
  <c r="AH34" i="1" s="1"/>
  <c r="AH35" i="1" s="1"/>
  <c r="AJ46" i="1"/>
  <c r="AI48" i="1"/>
  <c r="AI51" i="1" s="1"/>
  <c r="AG44" i="1"/>
  <c r="AG52" i="1" s="1"/>
  <c r="AG53" i="1" s="1"/>
  <c r="AG32" i="1"/>
  <c r="AG33" i="1" s="1"/>
  <c r="AK16" i="1"/>
  <c r="AK17" i="1" s="1"/>
  <c r="AJ45" i="1"/>
  <c r="AJ15" i="1"/>
  <c r="AH33" i="1"/>
  <c r="AG18" i="1"/>
  <c r="AI19" i="1"/>
  <c r="AH19" i="1"/>
  <c r="AG47" i="1"/>
  <c r="AG49" i="1" s="1"/>
  <c r="AG50" i="1" s="1"/>
  <c r="AJ16" i="1"/>
  <c r="AJ17" i="1" s="1"/>
  <c r="AH51" i="1"/>
  <c r="AH52" i="1"/>
  <c r="AH53" i="1" s="1"/>
  <c r="AH47" i="1"/>
  <c r="AH49" i="1" s="1"/>
  <c r="AH50" i="1" s="1"/>
  <c r="AH18" i="1"/>
  <c r="AI47" i="1"/>
  <c r="AI49" i="1" s="1"/>
  <c r="AI50" i="1" s="1"/>
  <c r="AI52" i="1"/>
  <c r="AJ18" i="1" l="1"/>
  <c r="AJ19" i="1"/>
  <c r="AG51" i="1"/>
  <c r="AK45" i="1"/>
  <c r="AK49" i="1" s="1"/>
  <c r="AK50" i="1" s="1"/>
  <c r="AK15" i="1"/>
  <c r="AJ33" i="1"/>
  <c r="AJ35" i="1" s="1"/>
  <c r="AK44" i="1"/>
  <c r="AK32" i="1"/>
  <c r="AK34" i="1" s="1"/>
  <c r="AJ49" i="1"/>
  <c r="AJ50" i="1" s="1"/>
  <c r="AI53" i="1"/>
  <c r="AJ48" i="1"/>
  <c r="AK46" i="1"/>
  <c r="AG34" i="1"/>
  <c r="AG35" i="1" s="1"/>
  <c r="AK18" i="1" l="1"/>
  <c r="AK19" i="1"/>
  <c r="AK33" i="1"/>
  <c r="AK35" i="1" s="1"/>
  <c r="AK48" i="1"/>
  <c r="AJ52" i="1"/>
  <c r="AJ51" i="1"/>
  <c r="AJ53" i="1" l="1"/>
  <c r="AK51" i="1"/>
  <c r="AK52" i="1"/>
  <c r="AK53" i="1" l="1"/>
</calcChain>
</file>

<file path=xl/sharedStrings.xml><?xml version="1.0" encoding="utf-8"?>
<sst xmlns="http://schemas.openxmlformats.org/spreadsheetml/2006/main" count="94" uniqueCount="45">
  <si>
    <t>Hotelling T-square: Paired Sample</t>
  </si>
  <si>
    <t>Model 1</t>
  </si>
  <si>
    <t>Model 2</t>
  </si>
  <si>
    <t>Difference</t>
  </si>
  <si>
    <t>Individual t-tests</t>
  </si>
  <si>
    <t>Subject</t>
  </si>
  <si>
    <t>Style</t>
  </si>
  <si>
    <t>Comfort</t>
  </si>
  <si>
    <t>Stability</t>
  </si>
  <si>
    <t>Cushion</t>
  </si>
  <si>
    <t>Durability</t>
  </si>
  <si>
    <t>Goal</t>
  </si>
  <si>
    <t>Mean</t>
  </si>
  <si>
    <t>Stdev</t>
  </si>
  <si>
    <t>goal</t>
  </si>
  <si>
    <t>mean</t>
  </si>
  <si>
    <t>s</t>
  </si>
  <si>
    <t>n</t>
  </si>
  <si>
    <t>se</t>
  </si>
  <si>
    <t>Sample Covariance Matrix (S)</t>
  </si>
  <si>
    <t>Correlation Matrix</t>
  </si>
  <si>
    <t>df</t>
  </si>
  <si>
    <t>α</t>
  </si>
  <si>
    <t>t</t>
  </si>
  <si>
    <t>t-crit</t>
  </si>
  <si>
    <t>p-value</t>
  </si>
  <si>
    <t>sig</t>
  </si>
  <si>
    <t>lower</t>
  </si>
  <si>
    <t>upper</t>
  </si>
  <si>
    <t>k</t>
  </si>
  <si>
    <t>Simultaneous confidence intervals</t>
  </si>
  <si>
    <r>
      <t>T</t>
    </r>
    <r>
      <rPr>
        <vertAlign val="superscript"/>
        <sz val="11"/>
        <color theme="1"/>
        <rFont val="Calibri"/>
        <family val="2"/>
        <scheme val="minor"/>
      </rPr>
      <t>2</t>
    </r>
  </si>
  <si>
    <t>F</t>
  </si>
  <si>
    <t>df1</t>
  </si>
  <si>
    <t>df2</t>
  </si>
  <si>
    <t>F-crit</t>
  </si>
  <si>
    <t>P-value</t>
  </si>
  <si>
    <t>Real Statistics formula</t>
  </si>
  <si>
    <t>stdev</t>
  </si>
  <si>
    <t>ok</t>
  </si>
  <si>
    <t>Bonferroni t-tests</t>
  </si>
  <si>
    <t>Real Statistics Using Excel</t>
  </si>
  <si>
    <t>Updated</t>
  </si>
  <si>
    <t>Copyright © 2013 - 2025 Charles Zaiontz</t>
  </si>
  <si>
    <t>Paired Sample Hotelling's T-square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</si>
</sst>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 applyAlignment="1">
      <alignment horizontal="right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2BA8-197A-4F0A-909E-92B697434BD2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41</v>
      </c>
    </row>
    <row r="2" spans="1:2" x14ac:dyDescent="0.35">
      <c r="A2" t="s">
        <v>44</v>
      </c>
    </row>
    <row r="4" spans="1:2" x14ac:dyDescent="0.35">
      <c r="A4" t="s">
        <v>42</v>
      </c>
      <c r="B4" s="30">
        <v>45958</v>
      </c>
    </row>
    <row r="6" spans="1:2" x14ac:dyDescent="0.35">
      <c r="A6" s="31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3891-FC8D-46E4-A733-DC5E387D9782}">
  <dimension ref="A1:AK53"/>
  <sheetViews>
    <sheetView zoomScaleNormal="100" workbookViewId="0"/>
  </sheetViews>
  <sheetFormatPr defaultRowHeight="14.5" x14ac:dyDescent="0.35"/>
  <cols>
    <col min="7" max="7" width="4.7265625" customWidth="1"/>
    <col min="13" max="13" width="7.26953125" customWidth="1"/>
    <col min="20" max="23" width="9.1796875" customWidth="1"/>
    <col min="32" max="32" width="11.26953125" customWidth="1"/>
  </cols>
  <sheetData>
    <row r="1" spans="1:37" x14ac:dyDescent="0.35">
      <c r="A1" s="1" t="s">
        <v>0</v>
      </c>
    </row>
    <row r="2" spans="1:37" x14ac:dyDescent="0.35">
      <c r="A2" s="1"/>
    </row>
    <row r="3" spans="1:37" x14ac:dyDescent="0.35">
      <c r="B3" t="s">
        <v>1</v>
      </c>
      <c r="H3" t="s">
        <v>2</v>
      </c>
      <c r="N3" t="s">
        <v>3</v>
      </c>
    </row>
    <row r="4" spans="1:37" x14ac:dyDescent="0.35">
      <c r="AF4" t="s">
        <v>4</v>
      </c>
    </row>
    <row r="5" spans="1:37" x14ac:dyDescent="0.35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N5" s="2" t="s">
        <v>6</v>
      </c>
      <c r="O5" s="2" t="s">
        <v>7</v>
      </c>
      <c r="P5" s="2" t="s">
        <v>8</v>
      </c>
      <c r="Q5" s="2" t="s">
        <v>9</v>
      </c>
      <c r="R5" s="2" t="s">
        <v>10</v>
      </c>
      <c r="U5" s="2" t="s">
        <v>11</v>
      </c>
      <c r="V5" s="2" t="s">
        <v>12</v>
      </c>
      <c r="W5" s="2" t="s">
        <v>13</v>
      </c>
    </row>
    <row r="6" spans="1:37" x14ac:dyDescent="0.35">
      <c r="A6">
        <v>1</v>
      </c>
      <c r="B6" s="3">
        <v>6</v>
      </c>
      <c r="C6" s="4">
        <v>8</v>
      </c>
      <c r="D6" s="4">
        <v>3</v>
      </c>
      <c r="E6" s="4">
        <v>5</v>
      </c>
      <c r="F6" s="5">
        <v>19</v>
      </c>
      <c r="H6" s="3">
        <v>8</v>
      </c>
      <c r="I6" s="4">
        <v>6</v>
      </c>
      <c r="J6" s="4">
        <v>5</v>
      </c>
      <c r="K6" s="4">
        <v>6</v>
      </c>
      <c r="L6" s="5">
        <v>10</v>
      </c>
      <c r="N6" s="3">
        <f>B6-H6</f>
        <v>-2</v>
      </c>
      <c r="O6" s="4">
        <f>C6-I6</f>
        <v>2</v>
      </c>
      <c r="P6" s="4">
        <f>D6-J6</f>
        <v>-2</v>
      </c>
      <c r="Q6" s="4">
        <f>E6-K6</f>
        <v>-1</v>
      </c>
      <c r="R6" s="5">
        <f>F6-L6</f>
        <v>9</v>
      </c>
      <c r="T6" t="s">
        <v>6</v>
      </c>
      <c r="U6" s="6">
        <v>0</v>
      </c>
      <c r="V6" s="4">
        <f t="array" ref="V6:W10">TRANSPOSE(N32:R33)</f>
        <v>-1.32</v>
      </c>
      <c r="W6" s="5">
        <v>2.1158134763411134</v>
      </c>
      <c r="AG6" s="10" t="str">
        <f>N5</f>
        <v>Style</v>
      </c>
      <c r="AH6" s="10" t="str">
        <f>O5</f>
        <v>Comfort</v>
      </c>
      <c r="AI6" s="10" t="str">
        <f>P5</f>
        <v>Stability</v>
      </c>
      <c r="AJ6" s="10" t="str">
        <f>Q5</f>
        <v>Cushion</v>
      </c>
      <c r="AK6" s="10" t="str">
        <f>R5</f>
        <v>Durability</v>
      </c>
    </row>
    <row r="7" spans="1:37" x14ac:dyDescent="0.35">
      <c r="A7">
        <f>A6+1</f>
        <v>2</v>
      </c>
      <c r="B7" s="11">
        <v>6</v>
      </c>
      <c r="C7">
        <v>7</v>
      </c>
      <c r="D7">
        <v>3</v>
      </c>
      <c r="E7">
        <v>4</v>
      </c>
      <c r="F7" s="7">
        <v>9</v>
      </c>
      <c r="H7" s="11">
        <v>8</v>
      </c>
      <c r="I7">
        <v>6</v>
      </c>
      <c r="J7">
        <v>3</v>
      </c>
      <c r="K7">
        <v>6</v>
      </c>
      <c r="L7" s="7">
        <v>4</v>
      </c>
      <c r="N7" s="11">
        <f t="shared" ref="N7:R30" si="0">B7-H7</f>
        <v>-2</v>
      </c>
      <c r="O7">
        <f t="shared" si="0"/>
        <v>1</v>
      </c>
      <c r="P7">
        <f t="shared" si="0"/>
        <v>0</v>
      </c>
      <c r="Q7">
        <f t="shared" si="0"/>
        <v>-2</v>
      </c>
      <c r="R7" s="7">
        <f t="shared" si="0"/>
        <v>5</v>
      </c>
      <c r="T7" t="s">
        <v>7</v>
      </c>
      <c r="U7" s="12">
        <v>0</v>
      </c>
      <c r="V7">
        <v>2</v>
      </c>
      <c r="W7" s="7">
        <v>1.9790570145063195</v>
      </c>
      <c r="AF7" t="s">
        <v>14</v>
      </c>
      <c r="AG7" s="3">
        <f t="array" ref="AG7:AK9">TRANSPOSE(U6:W10)</f>
        <v>0</v>
      </c>
      <c r="AH7" s="4">
        <v>0</v>
      </c>
      <c r="AI7" s="4">
        <v>0</v>
      </c>
      <c r="AJ7" s="4">
        <v>0</v>
      </c>
      <c r="AK7" s="5">
        <v>0</v>
      </c>
    </row>
    <row r="8" spans="1:37" x14ac:dyDescent="0.35">
      <c r="A8">
        <f t="shared" ref="A8:A30" si="1">A7+1</f>
        <v>3</v>
      </c>
      <c r="B8" s="11">
        <v>5</v>
      </c>
      <c r="C8">
        <v>7</v>
      </c>
      <c r="D8">
        <v>1</v>
      </c>
      <c r="E8">
        <v>4</v>
      </c>
      <c r="F8" s="7">
        <v>16</v>
      </c>
      <c r="H8" s="11">
        <v>7</v>
      </c>
      <c r="I8">
        <v>5</v>
      </c>
      <c r="J8">
        <v>6</v>
      </c>
      <c r="K8">
        <v>4</v>
      </c>
      <c r="L8" s="7">
        <v>17</v>
      </c>
      <c r="N8" s="11">
        <f t="shared" si="0"/>
        <v>-2</v>
      </c>
      <c r="O8">
        <f t="shared" si="0"/>
        <v>2</v>
      </c>
      <c r="P8">
        <f t="shared" si="0"/>
        <v>-5</v>
      </c>
      <c r="Q8">
        <f t="shared" si="0"/>
        <v>0</v>
      </c>
      <c r="R8" s="7">
        <f t="shared" si="0"/>
        <v>-1</v>
      </c>
      <c r="T8" t="s">
        <v>8</v>
      </c>
      <c r="U8" s="12">
        <v>0</v>
      </c>
      <c r="V8">
        <v>-0.72</v>
      </c>
      <c r="W8" s="7">
        <v>2.1315096371664222</v>
      </c>
      <c r="AF8" t="s">
        <v>15</v>
      </c>
      <c r="AG8" s="11">
        <v>-1.32</v>
      </c>
      <c r="AH8">
        <v>2</v>
      </c>
      <c r="AI8">
        <v>-0.72</v>
      </c>
      <c r="AJ8">
        <v>-0.32</v>
      </c>
      <c r="AK8" s="7">
        <v>2.76</v>
      </c>
    </row>
    <row r="9" spans="1:37" x14ac:dyDescent="0.35">
      <c r="A9">
        <f t="shared" si="1"/>
        <v>4</v>
      </c>
      <c r="B9" s="11">
        <v>10</v>
      </c>
      <c r="C9">
        <v>9</v>
      </c>
      <c r="D9">
        <v>8</v>
      </c>
      <c r="E9">
        <v>4</v>
      </c>
      <c r="F9" s="7">
        <v>4</v>
      </c>
      <c r="H9" s="11">
        <v>9</v>
      </c>
      <c r="I9">
        <v>8</v>
      </c>
      <c r="J9">
        <v>6</v>
      </c>
      <c r="K9">
        <v>3</v>
      </c>
      <c r="L9" s="7">
        <v>4</v>
      </c>
      <c r="N9" s="11">
        <f t="shared" si="0"/>
        <v>1</v>
      </c>
      <c r="O9">
        <f t="shared" si="0"/>
        <v>1</v>
      </c>
      <c r="P9">
        <f t="shared" si="0"/>
        <v>2</v>
      </c>
      <c r="Q9">
        <f t="shared" si="0"/>
        <v>1</v>
      </c>
      <c r="R9" s="7">
        <f t="shared" si="0"/>
        <v>0</v>
      </c>
      <c r="T9" t="s">
        <v>9</v>
      </c>
      <c r="U9" s="12">
        <v>0</v>
      </c>
      <c r="V9">
        <v>-0.32</v>
      </c>
      <c r="W9" s="7">
        <v>2.3223551264467139</v>
      </c>
      <c r="AF9" t="s">
        <v>16</v>
      </c>
      <c r="AG9" s="11">
        <v>2.1158134763411134</v>
      </c>
      <c r="AH9">
        <v>1.9790570145063195</v>
      </c>
      <c r="AI9">
        <v>2.1315096371664222</v>
      </c>
      <c r="AJ9">
        <v>2.3223551264467139</v>
      </c>
      <c r="AK9" s="7">
        <v>4.390140468519582</v>
      </c>
    </row>
    <row r="10" spans="1:37" x14ac:dyDescent="0.35">
      <c r="A10">
        <f t="shared" si="1"/>
        <v>5</v>
      </c>
      <c r="B10" s="11">
        <v>7</v>
      </c>
      <c r="C10">
        <v>9</v>
      </c>
      <c r="D10">
        <v>7</v>
      </c>
      <c r="E10">
        <v>6</v>
      </c>
      <c r="F10" s="7">
        <v>9</v>
      </c>
      <c r="H10" s="11">
        <v>8</v>
      </c>
      <c r="I10">
        <v>5</v>
      </c>
      <c r="J10">
        <v>6</v>
      </c>
      <c r="K10">
        <v>8</v>
      </c>
      <c r="L10" s="7">
        <v>11</v>
      </c>
      <c r="N10" s="11">
        <f t="shared" si="0"/>
        <v>-1</v>
      </c>
      <c r="O10">
        <f t="shared" si="0"/>
        <v>4</v>
      </c>
      <c r="P10">
        <f t="shared" si="0"/>
        <v>1</v>
      </c>
      <c r="Q10">
        <f t="shared" si="0"/>
        <v>-2</v>
      </c>
      <c r="R10" s="7">
        <f t="shared" si="0"/>
        <v>-2</v>
      </c>
      <c r="T10" t="s">
        <v>10</v>
      </c>
      <c r="U10" s="13">
        <v>0</v>
      </c>
      <c r="V10" s="8">
        <v>2.76</v>
      </c>
      <c r="W10" s="9">
        <v>4.390140468519582</v>
      </c>
      <c r="AF10" t="s">
        <v>17</v>
      </c>
      <c r="AG10" s="11">
        <f>U20</f>
        <v>25</v>
      </c>
      <c r="AH10">
        <f>AG10</f>
        <v>25</v>
      </c>
      <c r="AI10">
        <f>AH10</f>
        <v>25</v>
      </c>
      <c r="AJ10">
        <f>AI10</f>
        <v>25</v>
      </c>
      <c r="AK10" s="7">
        <f>AJ10</f>
        <v>25</v>
      </c>
    </row>
    <row r="11" spans="1:37" x14ac:dyDescent="0.35">
      <c r="A11">
        <f t="shared" si="1"/>
        <v>6</v>
      </c>
      <c r="B11" s="11">
        <v>6</v>
      </c>
      <c r="C11">
        <v>6</v>
      </c>
      <c r="D11">
        <v>3</v>
      </c>
      <c r="E11">
        <v>9</v>
      </c>
      <c r="F11" s="7">
        <v>17</v>
      </c>
      <c r="H11" s="11">
        <v>8</v>
      </c>
      <c r="I11">
        <v>7</v>
      </c>
      <c r="J11">
        <v>4</v>
      </c>
      <c r="K11">
        <v>4</v>
      </c>
      <c r="L11" s="7">
        <v>13</v>
      </c>
      <c r="N11" s="11">
        <f t="shared" si="0"/>
        <v>-2</v>
      </c>
      <c r="O11">
        <f t="shared" si="0"/>
        <v>-1</v>
      </c>
      <c r="P11">
        <f t="shared" si="0"/>
        <v>-1</v>
      </c>
      <c r="Q11">
        <f t="shared" si="0"/>
        <v>5</v>
      </c>
      <c r="R11" s="7">
        <f t="shared" si="0"/>
        <v>4</v>
      </c>
      <c r="AF11" t="s">
        <v>18</v>
      </c>
      <c r="AG11" s="11">
        <f>AG9/SQRT(AG10)</f>
        <v>0.4231626952682227</v>
      </c>
      <c r="AH11">
        <f>AH9/SQRT(AH10)</f>
        <v>0.39581140290126393</v>
      </c>
      <c r="AI11">
        <f>AI9/SQRT(AI10)</f>
        <v>0.42630192743328443</v>
      </c>
      <c r="AJ11">
        <f>AJ9/SQRT(AJ10)</f>
        <v>0.46447102528934281</v>
      </c>
      <c r="AK11" s="7">
        <f>AK9/SQRT(AK10)</f>
        <v>0.87802809370391643</v>
      </c>
    </row>
    <row r="12" spans="1:37" x14ac:dyDescent="0.35">
      <c r="A12">
        <f t="shared" si="1"/>
        <v>7</v>
      </c>
      <c r="B12" s="11">
        <v>5</v>
      </c>
      <c r="C12">
        <v>8</v>
      </c>
      <c r="D12">
        <v>6</v>
      </c>
      <c r="E12">
        <v>7</v>
      </c>
      <c r="F12" s="7">
        <v>6</v>
      </c>
      <c r="H12" s="11">
        <v>7</v>
      </c>
      <c r="I12">
        <v>3</v>
      </c>
      <c r="J12">
        <v>6</v>
      </c>
      <c r="K12">
        <v>3</v>
      </c>
      <c r="L12" s="7">
        <v>8</v>
      </c>
      <c r="N12" s="11">
        <f t="shared" si="0"/>
        <v>-2</v>
      </c>
      <c r="O12">
        <f t="shared" si="0"/>
        <v>5</v>
      </c>
      <c r="P12">
        <f t="shared" si="0"/>
        <v>0</v>
      </c>
      <c r="Q12">
        <f t="shared" si="0"/>
        <v>4</v>
      </c>
      <c r="R12" s="7">
        <f t="shared" si="0"/>
        <v>-2</v>
      </c>
      <c r="T12" t="s">
        <v>19</v>
      </c>
      <c r="Z12" t="s">
        <v>20</v>
      </c>
      <c r="AF12" t="s">
        <v>21</v>
      </c>
      <c r="AG12" s="11">
        <f>AG10-1</f>
        <v>24</v>
      </c>
      <c r="AH12">
        <f>AH10-1</f>
        <v>24</v>
      </c>
      <c r="AI12">
        <f>AI10-1</f>
        <v>24</v>
      </c>
      <c r="AJ12">
        <f>AJ10-1</f>
        <v>24</v>
      </c>
      <c r="AK12" s="7">
        <f>AK10-1</f>
        <v>24</v>
      </c>
    </row>
    <row r="13" spans="1:37" x14ac:dyDescent="0.35">
      <c r="A13">
        <f t="shared" si="1"/>
        <v>8</v>
      </c>
      <c r="B13" s="11">
        <v>3</v>
      </c>
      <c r="C13">
        <v>7</v>
      </c>
      <c r="D13">
        <v>3</v>
      </c>
      <c r="E13">
        <v>6</v>
      </c>
      <c r="F13" s="7">
        <v>16</v>
      </c>
      <c r="H13" s="11">
        <v>6</v>
      </c>
      <c r="I13">
        <v>6</v>
      </c>
      <c r="J13">
        <v>5</v>
      </c>
      <c r="K13">
        <v>8</v>
      </c>
      <c r="L13" s="7">
        <v>14</v>
      </c>
      <c r="N13" s="11">
        <f t="shared" si="0"/>
        <v>-3</v>
      </c>
      <c r="O13">
        <f t="shared" si="0"/>
        <v>1</v>
      </c>
      <c r="P13">
        <f t="shared" si="0"/>
        <v>-2</v>
      </c>
      <c r="Q13">
        <f t="shared" si="0"/>
        <v>-2</v>
      </c>
      <c r="R13" s="7">
        <f t="shared" si="0"/>
        <v>2</v>
      </c>
      <c r="AF13" t="s">
        <v>22</v>
      </c>
      <c r="AG13" s="11">
        <v>0.05</v>
      </c>
      <c r="AH13">
        <f>AG13</f>
        <v>0.05</v>
      </c>
      <c r="AI13">
        <f>AH13</f>
        <v>0.05</v>
      </c>
      <c r="AJ13">
        <f>AI13</f>
        <v>0.05</v>
      </c>
      <c r="AK13" s="7">
        <f>AJ13</f>
        <v>0.05</v>
      </c>
    </row>
    <row r="14" spans="1:37" x14ac:dyDescent="0.35">
      <c r="A14">
        <f t="shared" si="1"/>
        <v>9</v>
      </c>
      <c r="B14" s="11">
        <v>8</v>
      </c>
      <c r="C14">
        <v>8</v>
      </c>
      <c r="D14">
        <v>9</v>
      </c>
      <c r="E14">
        <v>3</v>
      </c>
      <c r="F14" s="7">
        <v>8</v>
      </c>
      <c r="H14" s="11">
        <v>6</v>
      </c>
      <c r="I14">
        <v>9</v>
      </c>
      <c r="J14">
        <v>7</v>
      </c>
      <c r="K14">
        <v>5</v>
      </c>
      <c r="L14" s="7">
        <v>12</v>
      </c>
      <c r="N14" s="11">
        <f t="shared" si="0"/>
        <v>2</v>
      </c>
      <c r="O14">
        <f t="shared" si="0"/>
        <v>-1</v>
      </c>
      <c r="P14">
        <f t="shared" si="0"/>
        <v>2</v>
      </c>
      <c r="Q14">
        <f t="shared" si="0"/>
        <v>-2</v>
      </c>
      <c r="R14" s="7">
        <f t="shared" si="0"/>
        <v>-4</v>
      </c>
      <c r="T14" s="3" t="e">
        <f t="array" aca="1" ref="T14:X18" ca="1">COV(N6:R30)</f>
        <v>#NAME?</v>
      </c>
      <c r="U14" s="4" t="e">
        <f ca="1"/>
        <v>#NAME?</v>
      </c>
      <c r="V14" s="4" t="e">
        <f ca="1"/>
        <v>#NAME?</v>
      </c>
      <c r="W14" s="4" t="e">
        <f ca="1"/>
        <v>#NAME?</v>
      </c>
      <c r="X14" s="5" t="e">
        <f ca="1"/>
        <v>#NAME?</v>
      </c>
      <c r="Z14" s="3" t="e">
        <f t="array" aca="1" ref="Z14:AD18" ca="1">CORR(N6:R30)</f>
        <v>#NAME?</v>
      </c>
      <c r="AA14" s="4" t="e">
        <f ca="1"/>
        <v>#NAME?</v>
      </c>
      <c r="AB14" s="4" t="e">
        <f ca="1"/>
        <v>#NAME?</v>
      </c>
      <c r="AC14" s="4" t="e">
        <f ca="1"/>
        <v>#NAME?</v>
      </c>
      <c r="AD14" s="5" t="e">
        <f ca="1"/>
        <v>#NAME?</v>
      </c>
      <c r="AF14" t="s">
        <v>23</v>
      </c>
      <c r="AG14" s="11">
        <f>(AG8-AG7)/(AG9/SQRT(AG10))</f>
        <v>-3.119367597286228</v>
      </c>
      <c r="AH14">
        <f>(AH8-AH7)/(AH9/SQRT(AH10))</f>
        <v>5.0529115263991136</v>
      </c>
      <c r="AI14">
        <f>(AI8-AI7)/(AI9/SQRT(AI10))</f>
        <v>-1.6889438064121323</v>
      </c>
      <c r="AJ14">
        <f>(AJ8-AJ7)/(AJ9/SQRT(AJ10))</f>
        <v>-0.68895578534883983</v>
      </c>
      <c r="AK14" s="7">
        <f>(AK8-AK7)/(AK9/SQRT(AK10))</f>
        <v>3.1434073918490255</v>
      </c>
    </row>
    <row r="15" spans="1:37" x14ac:dyDescent="0.35">
      <c r="A15">
        <f t="shared" si="1"/>
        <v>10</v>
      </c>
      <c r="B15" s="11">
        <v>8</v>
      </c>
      <c r="C15">
        <v>6</v>
      </c>
      <c r="D15">
        <v>5</v>
      </c>
      <c r="E15">
        <v>3</v>
      </c>
      <c r="F15" s="7">
        <v>13</v>
      </c>
      <c r="H15" s="11">
        <v>7</v>
      </c>
      <c r="I15">
        <v>5</v>
      </c>
      <c r="J15">
        <v>9</v>
      </c>
      <c r="K15">
        <v>6</v>
      </c>
      <c r="L15" s="7">
        <v>11</v>
      </c>
      <c r="N15" s="11">
        <f t="shared" si="0"/>
        <v>1</v>
      </c>
      <c r="O15">
        <f t="shared" si="0"/>
        <v>1</v>
      </c>
      <c r="P15">
        <f t="shared" si="0"/>
        <v>-4</v>
      </c>
      <c r="Q15">
        <f t="shared" si="0"/>
        <v>-3</v>
      </c>
      <c r="R15" s="7">
        <f t="shared" si="0"/>
        <v>2</v>
      </c>
      <c r="T15" s="11" t="e">
        <f ca="1"/>
        <v>#NAME?</v>
      </c>
      <c r="U15" t="e">
        <f ca="1"/>
        <v>#NAME?</v>
      </c>
      <c r="V15" t="e">
        <f ca="1"/>
        <v>#NAME?</v>
      </c>
      <c r="W15" t="e">
        <f ca="1"/>
        <v>#NAME?</v>
      </c>
      <c r="X15" s="7" t="e">
        <f ca="1"/>
        <v>#NAME?</v>
      </c>
      <c r="Z15" s="11" t="e">
        <f ca="1"/>
        <v>#NAME?</v>
      </c>
      <c r="AA15" t="e">
        <f ca="1"/>
        <v>#NAME?</v>
      </c>
      <c r="AB15" t="e">
        <f ca="1"/>
        <v>#NAME?</v>
      </c>
      <c r="AC15" t="e">
        <f ca="1"/>
        <v>#NAME?</v>
      </c>
      <c r="AD15" s="7" t="e">
        <f ca="1"/>
        <v>#NAME?</v>
      </c>
      <c r="AF15" t="s">
        <v>24</v>
      </c>
      <c r="AG15" s="14">
        <f>TINV(AG13,AG12)</f>
        <v>2.0638985616280254</v>
      </c>
      <c r="AH15" s="8">
        <f>TINV(AH13,AH12)</f>
        <v>2.0638985616280254</v>
      </c>
      <c r="AI15" s="8">
        <f>TINV(AI13,AI12)</f>
        <v>2.0638985616280254</v>
      </c>
      <c r="AJ15" s="8">
        <f>TINV(AJ13,AJ12)</f>
        <v>2.0638985616280254</v>
      </c>
      <c r="AK15" s="9">
        <f>TINV(AK13,AK12)</f>
        <v>2.0638985616280254</v>
      </c>
    </row>
    <row r="16" spans="1:37" x14ac:dyDescent="0.35">
      <c r="A16">
        <f t="shared" si="1"/>
        <v>11</v>
      </c>
      <c r="B16" s="11">
        <v>5</v>
      </c>
      <c r="C16">
        <v>9</v>
      </c>
      <c r="D16">
        <v>5</v>
      </c>
      <c r="E16">
        <v>4</v>
      </c>
      <c r="F16" s="7">
        <v>17</v>
      </c>
      <c r="H16" s="11">
        <v>7</v>
      </c>
      <c r="I16">
        <v>5</v>
      </c>
      <c r="J16">
        <v>4</v>
      </c>
      <c r="K16">
        <v>6</v>
      </c>
      <c r="L16" s="7">
        <v>15</v>
      </c>
      <c r="N16" s="11">
        <f t="shared" si="0"/>
        <v>-2</v>
      </c>
      <c r="O16">
        <f t="shared" si="0"/>
        <v>4</v>
      </c>
      <c r="P16">
        <f t="shared" si="0"/>
        <v>1</v>
      </c>
      <c r="Q16">
        <f t="shared" si="0"/>
        <v>-2</v>
      </c>
      <c r="R16" s="7">
        <f t="shared" si="0"/>
        <v>2</v>
      </c>
      <c r="T16" s="11" t="e">
        <f ca="1"/>
        <v>#NAME?</v>
      </c>
      <c r="U16" t="e">
        <f ca="1"/>
        <v>#NAME?</v>
      </c>
      <c r="V16" t="e">
        <f ca="1"/>
        <v>#NAME?</v>
      </c>
      <c r="W16" t="e">
        <f ca="1"/>
        <v>#NAME?</v>
      </c>
      <c r="X16" s="7" t="e">
        <f ca="1"/>
        <v>#NAME?</v>
      </c>
      <c r="Z16" s="11" t="e">
        <f ca="1"/>
        <v>#NAME?</v>
      </c>
      <c r="AA16" t="e">
        <f ca="1"/>
        <v>#NAME?</v>
      </c>
      <c r="AB16" t="e">
        <f ca="1"/>
        <v>#NAME?</v>
      </c>
      <c r="AC16" t="e">
        <f ca="1"/>
        <v>#NAME?</v>
      </c>
      <c r="AD16" s="7" t="e">
        <f ca="1"/>
        <v>#NAME?</v>
      </c>
      <c r="AF16" t="s">
        <v>25</v>
      </c>
      <c r="AG16" s="3">
        <f>TDIST(ABS(AG14),AG12,2)</f>
        <v>4.6653934159287883E-3</v>
      </c>
      <c r="AH16" s="4">
        <f>TDIST(ABS(AH14),AH12,2)</f>
        <v>3.6354467564221652E-5</v>
      </c>
      <c r="AI16" s="4">
        <f>TDIST(ABS(AI14),AI12,2)</f>
        <v>0.10418264069765802</v>
      </c>
      <c r="AJ16" s="4">
        <f>TDIST(ABS(AJ14),AJ12,2)</f>
        <v>0.49745808082521559</v>
      </c>
      <c r="AK16" s="5">
        <f>TDIST(ABS(AK14),AK12,2)</f>
        <v>4.403161558730921E-3</v>
      </c>
    </row>
    <row r="17" spans="1:37" x14ac:dyDescent="0.35">
      <c r="A17">
        <f t="shared" si="1"/>
        <v>12</v>
      </c>
      <c r="B17" s="11">
        <v>8</v>
      </c>
      <c r="C17">
        <v>8</v>
      </c>
      <c r="D17">
        <v>2</v>
      </c>
      <c r="E17">
        <v>3</v>
      </c>
      <c r="F17" s="7">
        <v>5</v>
      </c>
      <c r="H17" s="11">
        <v>5</v>
      </c>
      <c r="I17">
        <v>7</v>
      </c>
      <c r="J17">
        <v>4</v>
      </c>
      <c r="K17">
        <v>4</v>
      </c>
      <c r="L17" s="7">
        <v>6</v>
      </c>
      <c r="N17" s="11">
        <f t="shared" si="0"/>
        <v>3</v>
      </c>
      <c r="O17">
        <f t="shared" si="0"/>
        <v>1</v>
      </c>
      <c r="P17">
        <f t="shared" si="0"/>
        <v>-2</v>
      </c>
      <c r="Q17">
        <f t="shared" si="0"/>
        <v>-1</v>
      </c>
      <c r="R17" s="7">
        <f t="shared" si="0"/>
        <v>-1</v>
      </c>
      <c r="T17" s="11" t="e">
        <f ca="1"/>
        <v>#NAME?</v>
      </c>
      <c r="U17" t="e">
        <f ca="1"/>
        <v>#NAME?</v>
      </c>
      <c r="V17" t="e">
        <f ca="1"/>
        <v>#NAME?</v>
      </c>
      <c r="W17" t="e">
        <f ca="1"/>
        <v>#NAME?</v>
      </c>
      <c r="X17" s="7" t="e">
        <f ca="1"/>
        <v>#NAME?</v>
      </c>
      <c r="Z17" s="11" t="e">
        <f ca="1"/>
        <v>#NAME?</v>
      </c>
      <c r="AA17" t="e">
        <f ca="1"/>
        <v>#NAME?</v>
      </c>
      <c r="AB17" t="e">
        <f ca="1"/>
        <v>#NAME?</v>
      </c>
      <c r="AC17" t="e">
        <f ca="1"/>
        <v>#NAME?</v>
      </c>
      <c r="AD17" s="7" t="e">
        <f ca="1"/>
        <v>#NAME?</v>
      </c>
      <c r="AF17" t="s">
        <v>26</v>
      </c>
      <c r="AG17" s="15" t="str">
        <f>IF(AG16&lt;=AG13,"yes","no")</f>
        <v>yes</v>
      </c>
      <c r="AH17" s="16" t="str">
        <f>IF(AH16&lt;=AH13,"yes","no")</f>
        <v>yes</v>
      </c>
      <c r="AI17" s="16" t="str">
        <f>IF(AI16&lt;=AI13,"yes","no")</f>
        <v>no</v>
      </c>
      <c r="AJ17" s="16" t="str">
        <f>IF(AJ16&lt;=AJ13,"yes","no")</f>
        <v>no</v>
      </c>
      <c r="AK17" s="17" t="str">
        <f>IF(AK16&lt;=AK13,"yes","no")</f>
        <v>yes</v>
      </c>
    </row>
    <row r="18" spans="1:37" x14ac:dyDescent="0.35">
      <c r="A18">
        <f t="shared" si="1"/>
        <v>13</v>
      </c>
      <c r="B18" s="11">
        <v>5</v>
      </c>
      <c r="C18">
        <v>8</v>
      </c>
      <c r="D18">
        <v>7</v>
      </c>
      <c r="E18">
        <v>5</v>
      </c>
      <c r="F18" s="7">
        <v>8</v>
      </c>
      <c r="H18" s="11">
        <v>6</v>
      </c>
      <c r="I18">
        <v>4</v>
      </c>
      <c r="J18">
        <v>6</v>
      </c>
      <c r="K18">
        <v>4</v>
      </c>
      <c r="L18" s="7">
        <v>12</v>
      </c>
      <c r="N18" s="11">
        <f t="shared" si="0"/>
        <v>-1</v>
      </c>
      <c r="O18">
        <f t="shared" si="0"/>
        <v>4</v>
      </c>
      <c r="P18">
        <f t="shared" si="0"/>
        <v>1</v>
      </c>
      <c r="Q18">
        <f t="shared" si="0"/>
        <v>1</v>
      </c>
      <c r="R18" s="7">
        <f t="shared" si="0"/>
        <v>-4</v>
      </c>
      <c r="T18" s="14" t="e">
        <f ca="1"/>
        <v>#NAME?</v>
      </c>
      <c r="U18" s="8" t="e">
        <f ca="1"/>
        <v>#NAME?</v>
      </c>
      <c r="V18" s="8" t="e">
        <f ca="1"/>
        <v>#NAME?</v>
      </c>
      <c r="W18" s="8" t="e">
        <f ca="1"/>
        <v>#NAME?</v>
      </c>
      <c r="X18" s="9" t="e">
        <f ca="1"/>
        <v>#NAME?</v>
      </c>
      <c r="Z18" s="14" t="e">
        <f ca="1"/>
        <v>#NAME?</v>
      </c>
      <c r="AA18" s="8" t="e">
        <f ca="1"/>
        <v>#NAME?</v>
      </c>
      <c r="AB18" s="8" t="e">
        <f ca="1"/>
        <v>#NAME?</v>
      </c>
      <c r="AC18" s="8" t="e">
        <f ca="1"/>
        <v>#NAME?</v>
      </c>
      <c r="AD18" s="9" t="e">
        <f ca="1"/>
        <v>#NAME?</v>
      </c>
      <c r="AF18" t="s">
        <v>27</v>
      </c>
      <c r="AG18" s="3">
        <f>AG8-AG15*AG11</f>
        <v>-2.1933648780987234</v>
      </c>
      <c r="AH18" s="4">
        <f>AH8-AH15*AH11</f>
        <v>1.1830854148761105</v>
      </c>
      <c r="AI18" s="4">
        <f>AI8-AI15*AI11</f>
        <v>-1.5998439348488107</v>
      </c>
      <c r="AJ18" s="4">
        <f>AJ8-AJ15*AJ11</f>
        <v>-1.2786210810125689</v>
      </c>
      <c r="AK18" s="5">
        <f>AK8-AK15*AK11</f>
        <v>0.94783908033548947</v>
      </c>
    </row>
    <row r="19" spans="1:37" x14ac:dyDescent="0.35">
      <c r="A19">
        <f t="shared" si="1"/>
        <v>14</v>
      </c>
      <c r="B19" s="11">
        <v>4</v>
      </c>
      <c r="C19">
        <v>9</v>
      </c>
      <c r="D19">
        <v>10</v>
      </c>
      <c r="E19">
        <v>2</v>
      </c>
      <c r="F19" s="7">
        <v>16</v>
      </c>
      <c r="H19" s="11">
        <v>8</v>
      </c>
      <c r="I19">
        <v>7</v>
      </c>
      <c r="J19">
        <v>8</v>
      </c>
      <c r="K19">
        <v>5</v>
      </c>
      <c r="L19" s="7">
        <v>12</v>
      </c>
      <c r="N19" s="11">
        <f t="shared" si="0"/>
        <v>-4</v>
      </c>
      <c r="O19">
        <f t="shared" si="0"/>
        <v>2</v>
      </c>
      <c r="P19">
        <f t="shared" si="0"/>
        <v>2</v>
      </c>
      <c r="Q19">
        <f t="shared" si="0"/>
        <v>-3</v>
      </c>
      <c r="R19" s="7">
        <f t="shared" si="0"/>
        <v>4</v>
      </c>
      <c r="AF19" t="s">
        <v>28</v>
      </c>
      <c r="AG19" s="14">
        <f>AG8+AG15*AG11</f>
        <v>-0.44663512190127674</v>
      </c>
      <c r="AH19" s="8">
        <f>AH8+AH15*AH11</f>
        <v>2.8169145851238895</v>
      </c>
      <c r="AI19" s="8">
        <f>AI8+AI15*AI11</f>
        <v>0.15984393484881065</v>
      </c>
      <c r="AJ19" s="8">
        <f>AJ8+AJ15*AJ11</f>
        <v>0.63862108101256876</v>
      </c>
      <c r="AK19" s="9">
        <f>AK8+AK15*AK11</f>
        <v>4.5721609196645101</v>
      </c>
    </row>
    <row r="20" spans="1:37" x14ac:dyDescent="0.35">
      <c r="A20">
        <f t="shared" si="1"/>
        <v>15</v>
      </c>
      <c r="B20" s="11">
        <v>2</v>
      </c>
      <c r="C20">
        <v>9</v>
      </c>
      <c r="D20">
        <v>4</v>
      </c>
      <c r="E20">
        <v>10</v>
      </c>
      <c r="F20" s="7">
        <v>14</v>
      </c>
      <c r="H20" s="11">
        <v>5</v>
      </c>
      <c r="I20">
        <v>6</v>
      </c>
      <c r="J20">
        <v>5</v>
      </c>
      <c r="K20">
        <v>7</v>
      </c>
      <c r="L20" s="7">
        <v>12</v>
      </c>
      <c r="N20" s="11">
        <f t="shared" si="0"/>
        <v>-3</v>
      </c>
      <c r="O20">
        <f t="shared" si="0"/>
        <v>3</v>
      </c>
      <c r="P20">
        <f t="shared" si="0"/>
        <v>-1</v>
      </c>
      <c r="Q20">
        <f t="shared" si="0"/>
        <v>3</v>
      </c>
      <c r="R20" s="7">
        <f t="shared" si="0"/>
        <v>2</v>
      </c>
      <c r="T20" t="s">
        <v>17</v>
      </c>
      <c r="U20" s="18">
        <f>COUNT(N6:N30)</f>
        <v>25</v>
      </c>
    </row>
    <row r="21" spans="1:37" x14ac:dyDescent="0.35">
      <c r="A21">
        <f t="shared" si="1"/>
        <v>16</v>
      </c>
      <c r="B21" s="11">
        <v>7</v>
      </c>
      <c r="C21">
        <v>5</v>
      </c>
      <c r="D21">
        <v>8</v>
      </c>
      <c r="E21">
        <v>6</v>
      </c>
      <c r="F21" s="7">
        <v>15</v>
      </c>
      <c r="H21" s="11">
        <v>10</v>
      </c>
      <c r="I21">
        <v>5</v>
      </c>
      <c r="J21">
        <v>7</v>
      </c>
      <c r="K21">
        <v>6</v>
      </c>
      <c r="L21" s="7">
        <v>6</v>
      </c>
      <c r="N21" s="11">
        <f t="shared" si="0"/>
        <v>-3</v>
      </c>
      <c r="O21">
        <f t="shared" si="0"/>
        <v>0</v>
      </c>
      <c r="P21">
        <f t="shared" si="0"/>
        <v>1</v>
      </c>
      <c r="Q21">
        <f t="shared" si="0"/>
        <v>0</v>
      </c>
      <c r="R21" s="7">
        <f t="shared" si="0"/>
        <v>9</v>
      </c>
      <c r="T21" t="s">
        <v>29</v>
      </c>
      <c r="U21" s="19">
        <f>COUNT(N6:R6)</f>
        <v>5</v>
      </c>
      <c r="AF21" t="s">
        <v>30</v>
      </c>
    </row>
    <row r="22" spans="1:37" ht="16.5" x14ac:dyDescent="0.35">
      <c r="A22">
        <f t="shared" si="1"/>
        <v>17</v>
      </c>
      <c r="B22" s="11">
        <v>4</v>
      </c>
      <c r="C22">
        <v>8</v>
      </c>
      <c r="D22">
        <v>8</v>
      </c>
      <c r="E22">
        <v>2</v>
      </c>
      <c r="F22" s="7">
        <v>16</v>
      </c>
      <c r="H22" s="11">
        <v>9</v>
      </c>
      <c r="I22">
        <v>6</v>
      </c>
      <c r="J22">
        <v>9</v>
      </c>
      <c r="K22">
        <v>5</v>
      </c>
      <c r="L22" s="7">
        <v>11</v>
      </c>
      <c r="N22" s="11">
        <f t="shared" si="0"/>
        <v>-5</v>
      </c>
      <c r="O22">
        <f t="shared" si="0"/>
        <v>2</v>
      </c>
      <c r="P22">
        <f t="shared" si="0"/>
        <v>-1</v>
      </c>
      <c r="Q22">
        <f t="shared" si="0"/>
        <v>-3</v>
      </c>
      <c r="R22" s="7">
        <f t="shared" si="0"/>
        <v>5</v>
      </c>
      <c r="T22" t="s">
        <v>31</v>
      </c>
      <c r="U22" s="19" t="e">
        <f t="array" aca="1" ref="U22" ca="1">U20*MMULT(MMULT(TRANSPOSE(V6:V10-U6:U10),MINVERSE(T14:X18)),V6:V10-U6:U10)</f>
        <v>#NAME?</v>
      </c>
    </row>
    <row r="23" spans="1:37" x14ac:dyDescent="0.35">
      <c r="A23">
        <f t="shared" si="1"/>
        <v>18</v>
      </c>
      <c r="B23" s="11">
        <v>5</v>
      </c>
      <c r="C23">
        <v>10</v>
      </c>
      <c r="D23">
        <v>9</v>
      </c>
      <c r="E23">
        <v>3</v>
      </c>
      <c r="F23" s="7">
        <v>11</v>
      </c>
      <c r="H23" s="11">
        <v>8</v>
      </c>
      <c r="I23">
        <v>7</v>
      </c>
      <c r="J23">
        <v>10</v>
      </c>
      <c r="K23">
        <v>5</v>
      </c>
      <c r="L23" s="7">
        <v>5</v>
      </c>
      <c r="N23" s="11">
        <f t="shared" si="0"/>
        <v>-3</v>
      </c>
      <c r="O23">
        <f t="shared" si="0"/>
        <v>3</v>
      </c>
      <c r="P23">
        <f t="shared" si="0"/>
        <v>-1</v>
      </c>
      <c r="Q23">
        <f t="shared" si="0"/>
        <v>-2</v>
      </c>
      <c r="R23" s="7">
        <f t="shared" si="0"/>
        <v>6</v>
      </c>
      <c r="T23" t="s">
        <v>32</v>
      </c>
      <c r="U23" s="19" t="e">
        <f ca="1">U22*(U20-U21)/(U21*(U20-1))</f>
        <v>#NAME?</v>
      </c>
      <c r="AG23" s="10" t="str">
        <f>AG6</f>
        <v>Style</v>
      </c>
      <c r="AH23" s="10" t="str">
        <f>AH6</f>
        <v>Comfort</v>
      </c>
      <c r="AI23" s="10" t="str">
        <f>AI6</f>
        <v>Stability</v>
      </c>
      <c r="AJ23" s="10" t="str">
        <f>AJ6</f>
        <v>Cushion</v>
      </c>
      <c r="AK23" s="10" t="str">
        <f>AK6</f>
        <v>Durability</v>
      </c>
    </row>
    <row r="24" spans="1:37" x14ac:dyDescent="0.35">
      <c r="A24">
        <f t="shared" si="1"/>
        <v>19</v>
      </c>
      <c r="B24" s="11">
        <v>7</v>
      </c>
      <c r="C24">
        <v>7</v>
      </c>
      <c r="D24">
        <v>3</v>
      </c>
      <c r="E24">
        <v>7</v>
      </c>
      <c r="F24" s="7">
        <v>12</v>
      </c>
      <c r="H24" s="11">
        <v>6</v>
      </c>
      <c r="I24">
        <v>2</v>
      </c>
      <c r="J24">
        <v>5</v>
      </c>
      <c r="K24">
        <v>3</v>
      </c>
      <c r="L24" s="7">
        <v>8</v>
      </c>
      <c r="N24" s="11">
        <f t="shared" si="0"/>
        <v>1</v>
      </c>
      <c r="O24">
        <f t="shared" si="0"/>
        <v>5</v>
      </c>
      <c r="P24">
        <f t="shared" si="0"/>
        <v>-2</v>
      </c>
      <c r="Q24">
        <f t="shared" si="0"/>
        <v>4</v>
      </c>
      <c r="R24" s="7">
        <f t="shared" si="0"/>
        <v>4</v>
      </c>
      <c r="T24" t="s">
        <v>33</v>
      </c>
      <c r="U24" s="19">
        <f>U21</f>
        <v>5</v>
      </c>
      <c r="AF24" t="s">
        <v>15</v>
      </c>
      <c r="AG24" s="3">
        <f>AG8</f>
        <v>-1.32</v>
      </c>
      <c r="AH24" s="4">
        <f>AH8</f>
        <v>2</v>
      </c>
      <c r="AI24" s="4">
        <f>AI8</f>
        <v>-0.72</v>
      </c>
      <c r="AJ24" s="4">
        <f>AJ8</f>
        <v>-0.32</v>
      </c>
      <c r="AK24" s="5">
        <f>AK8</f>
        <v>2.76</v>
      </c>
    </row>
    <row r="25" spans="1:37" x14ac:dyDescent="0.35">
      <c r="A25">
        <f t="shared" si="1"/>
        <v>20</v>
      </c>
      <c r="B25" s="11">
        <v>1</v>
      </c>
      <c r="C25">
        <v>5</v>
      </c>
      <c r="D25">
        <v>2</v>
      </c>
      <c r="E25">
        <v>7</v>
      </c>
      <c r="F25" s="7">
        <v>17</v>
      </c>
      <c r="H25" s="11">
        <v>5</v>
      </c>
      <c r="I25">
        <v>7</v>
      </c>
      <c r="J25">
        <v>5</v>
      </c>
      <c r="K25">
        <v>5</v>
      </c>
      <c r="L25" s="7">
        <v>8</v>
      </c>
      <c r="N25" s="11">
        <f t="shared" si="0"/>
        <v>-4</v>
      </c>
      <c r="O25">
        <f t="shared" si="0"/>
        <v>-2</v>
      </c>
      <c r="P25">
        <f t="shared" si="0"/>
        <v>-3</v>
      </c>
      <c r="Q25">
        <f t="shared" si="0"/>
        <v>2</v>
      </c>
      <c r="R25" s="7">
        <f t="shared" si="0"/>
        <v>9</v>
      </c>
      <c r="T25" t="s">
        <v>34</v>
      </c>
      <c r="U25" s="19">
        <f>U20-U21</f>
        <v>20</v>
      </c>
      <c r="AF25" t="s">
        <v>17</v>
      </c>
      <c r="AG25" s="11">
        <f>U20</f>
        <v>25</v>
      </c>
      <c r="AH25">
        <f>AG25</f>
        <v>25</v>
      </c>
      <c r="AI25">
        <f>AH25</f>
        <v>25</v>
      </c>
      <c r="AJ25">
        <f>AI25</f>
        <v>25</v>
      </c>
      <c r="AK25" s="7">
        <f>AJ25</f>
        <v>25</v>
      </c>
    </row>
    <row r="26" spans="1:37" x14ac:dyDescent="0.35">
      <c r="A26">
        <f t="shared" si="1"/>
        <v>21</v>
      </c>
      <c r="B26" s="11">
        <v>5</v>
      </c>
      <c r="C26">
        <v>6</v>
      </c>
      <c r="D26">
        <v>7</v>
      </c>
      <c r="E26">
        <v>7</v>
      </c>
      <c r="F26" s="7">
        <v>20</v>
      </c>
      <c r="H26" s="11">
        <v>8</v>
      </c>
      <c r="I26">
        <v>4</v>
      </c>
      <c r="J26">
        <v>8</v>
      </c>
      <c r="K26">
        <v>8</v>
      </c>
      <c r="L26" s="7">
        <v>10</v>
      </c>
      <c r="N26" s="11">
        <f t="shared" si="0"/>
        <v>-3</v>
      </c>
      <c r="O26">
        <f t="shared" si="0"/>
        <v>2</v>
      </c>
      <c r="P26">
        <f t="shared" si="0"/>
        <v>-1</v>
      </c>
      <c r="Q26">
        <f t="shared" si="0"/>
        <v>-1</v>
      </c>
      <c r="R26" s="7">
        <f t="shared" si="0"/>
        <v>10</v>
      </c>
      <c r="T26" t="s">
        <v>22</v>
      </c>
      <c r="U26" s="19">
        <v>0.05</v>
      </c>
      <c r="AF26" t="s">
        <v>29</v>
      </c>
      <c r="AG26" s="11">
        <f>U21</f>
        <v>5</v>
      </c>
      <c r="AH26">
        <f t="shared" ref="AH26:AK30" si="2">AG26</f>
        <v>5</v>
      </c>
      <c r="AI26">
        <f t="shared" si="2"/>
        <v>5</v>
      </c>
      <c r="AJ26">
        <f t="shared" si="2"/>
        <v>5</v>
      </c>
      <c r="AK26" s="7">
        <f t="shared" si="2"/>
        <v>5</v>
      </c>
    </row>
    <row r="27" spans="1:37" x14ac:dyDescent="0.35">
      <c r="A27">
        <f t="shared" si="1"/>
        <v>22</v>
      </c>
      <c r="B27" s="11">
        <v>4</v>
      </c>
      <c r="C27">
        <v>3</v>
      </c>
      <c r="D27">
        <v>1</v>
      </c>
      <c r="E27">
        <v>2</v>
      </c>
      <c r="F27" s="7">
        <v>15</v>
      </c>
      <c r="H27" s="11">
        <v>3</v>
      </c>
      <c r="I27">
        <v>2</v>
      </c>
      <c r="J27">
        <v>4</v>
      </c>
      <c r="K27">
        <v>4</v>
      </c>
      <c r="L27" s="7">
        <v>15</v>
      </c>
      <c r="N27" s="11">
        <f t="shared" si="0"/>
        <v>1</v>
      </c>
      <c r="O27">
        <f t="shared" si="0"/>
        <v>1</v>
      </c>
      <c r="P27">
        <f t="shared" si="0"/>
        <v>-3</v>
      </c>
      <c r="Q27">
        <f t="shared" si="0"/>
        <v>-2</v>
      </c>
      <c r="R27" s="7">
        <f t="shared" si="0"/>
        <v>0</v>
      </c>
      <c r="T27" t="s">
        <v>35</v>
      </c>
      <c r="U27" s="19">
        <f>FINV(U26,U24,U25)</f>
        <v>2.7108898372096917</v>
      </c>
      <c r="AF27" t="s">
        <v>33</v>
      </c>
      <c r="AG27" s="11">
        <f>U24</f>
        <v>5</v>
      </c>
      <c r="AH27">
        <f t="shared" si="2"/>
        <v>5</v>
      </c>
      <c r="AI27">
        <f t="shared" si="2"/>
        <v>5</v>
      </c>
      <c r="AJ27">
        <f t="shared" si="2"/>
        <v>5</v>
      </c>
      <c r="AK27" s="7">
        <f t="shared" si="2"/>
        <v>5</v>
      </c>
    </row>
    <row r="28" spans="1:37" x14ac:dyDescent="0.35">
      <c r="A28">
        <f t="shared" si="1"/>
        <v>23</v>
      </c>
      <c r="B28" s="11">
        <v>7</v>
      </c>
      <c r="C28">
        <v>9</v>
      </c>
      <c r="D28">
        <v>6</v>
      </c>
      <c r="E28">
        <v>6</v>
      </c>
      <c r="F28" s="7">
        <v>9</v>
      </c>
      <c r="H28" s="11">
        <v>8</v>
      </c>
      <c r="I28">
        <v>6</v>
      </c>
      <c r="J28">
        <v>3</v>
      </c>
      <c r="K28">
        <v>6</v>
      </c>
      <c r="L28" s="7">
        <v>12</v>
      </c>
      <c r="N28" s="11">
        <f t="shared" si="0"/>
        <v>-1</v>
      </c>
      <c r="O28">
        <f t="shared" si="0"/>
        <v>3</v>
      </c>
      <c r="P28">
        <f t="shared" si="0"/>
        <v>3</v>
      </c>
      <c r="Q28">
        <f t="shared" si="0"/>
        <v>0</v>
      </c>
      <c r="R28" s="7">
        <f t="shared" si="0"/>
        <v>-3</v>
      </c>
      <c r="T28" t="s">
        <v>36</v>
      </c>
      <c r="U28" s="19" t="e">
        <f ca="1">FDIST(U23,U24,U25)</f>
        <v>#NAME?</v>
      </c>
      <c r="AF28" t="s">
        <v>34</v>
      </c>
      <c r="AG28" s="11">
        <f>U25</f>
        <v>20</v>
      </c>
      <c r="AH28">
        <f t="shared" si="2"/>
        <v>20</v>
      </c>
      <c r="AI28">
        <f t="shared" si="2"/>
        <v>20</v>
      </c>
      <c r="AJ28">
        <f t="shared" si="2"/>
        <v>20</v>
      </c>
      <c r="AK28" s="7">
        <f t="shared" si="2"/>
        <v>20</v>
      </c>
    </row>
    <row r="29" spans="1:37" x14ac:dyDescent="0.35">
      <c r="A29">
        <f t="shared" si="1"/>
        <v>24</v>
      </c>
      <c r="B29" s="11">
        <v>4</v>
      </c>
      <c r="C29">
        <v>5</v>
      </c>
      <c r="D29">
        <v>2</v>
      </c>
      <c r="E29">
        <v>4</v>
      </c>
      <c r="F29" s="7">
        <v>12</v>
      </c>
      <c r="H29" s="11">
        <v>5</v>
      </c>
      <c r="I29">
        <v>4</v>
      </c>
      <c r="J29">
        <v>6</v>
      </c>
      <c r="K29">
        <v>5</v>
      </c>
      <c r="L29" s="7">
        <v>9</v>
      </c>
      <c r="N29" s="11">
        <f t="shared" si="0"/>
        <v>-1</v>
      </c>
      <c r="O29">
        <f t="shared" si="0"/>
        <v>1</v>
      </c>
      <c r="P29">
        <f t="shared" si="0"/>
        <v>-4</v>
      </c>
      <c r="Q29">
        <f t="shared" si="0"/>
        <v>-1</v>
      </c>
      <c r="R29" s="7">
        <f t="shared" si="0"/>
        <v>3</v>
      </c>
      <c r="T29" t="s">
        <v>26</v>
      </c>
      <c r="U29" s="20" t="e">
        <f ca="1">IF(U28&lt;= U26,"yes","no")</f>
        <v>#NAME?</v>
      </c>
      <c r="AF29" t="s">
        <v>22</v>
      </c>
      <c r="AG29" s="11">
        <f>U26</f>
        <v>0.05</v>
      </c>
      <c r="AH29">
        <f t="shared" si="2"/>
        <v>0.05</v>
      </c>
      <c r="AI29">
        <f t="shared" si="2"/>
        <v>0.05</v>
      </c>
      <c r="AJ29">
        <f t="shared" si="2"/>
        <v>0.05</v>
      </c>
      <c r="AK29" s="7">
        <f t="shared" si="2"/>
        <v>0.05</v>
      </c>
    </row>
    <row r="30" spans="1:37" x14ac:dyDescent="0.35">
      <c r="A30">
        <f t="shared" si="1"/>
        <v>25</v>
      </c>
      <c r="B30" s="14">
        <v>8</v>
      </c>
      <c r="C30" s="8">
        <v>9</v>
      </c>
      <c r="D30" s="8">
        <v>5</v>
      </c>
      <c r="E30" s="8">
        <v>7</v>
      </c>
      <c r="F30" s="9">
        <v>18</v>
      </c>
      <c r="H30" s="14">
        <v>6</v>
      </c>
      <c r="I30" s="8">
        <v>3</v>
      </c>
      <c r="J30" s="8">
        <v>4</v>
      </c>
      <c r="K30" s="8">
        <v>8</v>
      </c>
      <c r="L30" s="9">
        <v>8</v>
      </c>
      <c r="N30" s="14">
        <f t="shared" si="0"/>
        <v>2</v>
      </c>
      <c r="O30" s="8">
        <f t="shared" si="0"/>
        <v>6</v>
      </c>
      <c r="P30" s="8">
        <f t="shared" si="0"/>
        <v>1</v>
      </c>
      <c r="Q30" s="8">
        <f t="shared" si="0"/>
        <v>-1</v>
      </c>
      <c r="R30" s="9">
        <f t="shared" si="0"/>
        <v>10</v>
      </c>
      <c r="AF30" t="s">
        <v>35</v>
      </c>
      <c r="AG30" s="11">
        <f>U27</f>
        <v>2.7108898372096917</v>
      </c>
      <c r="AH30">
        <f>AG30</f>
        <v>2.7108898372096917</v>
      </c>
      <c r="AI30">
        <f t="shared" si="2"/>
        <v>2.7108898372096917</v>
      </c>
      <c r="AJ30">
        <f t="shared" si="2"/>
        <v>2.7108898372096917</v>
      </c>
      <c r="AK30" s="7">
        <f t="shared" si="2"/>
        <v>2.7108898372096917</v>
      </c>
    </row>
    <row r="31" spans="1:37" x14ac:dyDescent="0.35">
      <c r="T31" t="s">
        <v>37</v>
      </c>
      <c r="AF31" t="s">
        <v>24</v>
      </c>
      <c r="AG31" s="11">
        <f>SQRT(AG26*(AG25-1)/(AG25-AG26)*AG30)</f>
        <v>4.0330309970614096</v>
      </c>
      <c r="AH31">
        <f>SQRT(AH26*(AH25-1)/(AH25-AH26)*AH30)</f>
        <v>4.0330309970614096</v>
      </c>
      <c r="AI31">
        <f>SQRT(AI26*(AI25-1)/(AI25-AI26)*AI30)</f>
        <v>4.0330309970614096</v>
      </c>
      <c r="AJ31">
        <f>SQRT(AJ26*(AJ25-1)/(AJ25-AJ26)*AJ30)</f>
        <v>4.0330309970614096</v>
      </c>
      <c r="AK31" s="7">
        <f>SQRT(AK26*(AK25-1)/(AK25-AK26)*AK30)</f>
        <v>4.0330309970614096</v>
      </c>
    </row>
    <row r="32" spans="1:37" x14ac:dyDescent="0.35">
      <c r="M32" t="s">
        <v>15</v>
      </c>
      <c r="N32" s="3">
        <f>AVERAGE(N6:N30)</f>
        <v>-1.32</v>
      </c>
      <c r="O32" s="4">
        <f>AVERAGE(O6:O30)</f>
        <v>2</v>
      </c>
      <c r="P32" s="4">
        <f>AVERAGE(P6:P30)</f>
        <v>-0.72</v>
      </c>
      <c r="Q32" s="4">
        <f>AVERAGE(Q6:Q30)</f>
        <v>-0.32</v>
      </c>
      <c r="R32" s="5">
        <f>AVERAGE(R6:R30)</f>
        <v>2.76</v>
      </c>
      <c r="AF32" t="s">
        <v>18</v>
      </c>
      <c r="AG32" s="14">
        <f>AG11</f>
        <v>0.4231626952682227</v>
      </c>
      <c r="AH32" s="8">
        <f>AH11</f>
        <v>0.39581140290126393</v>
      </c>
      <c r="AI32" s="8">
        <f>AI11</f>
        <v>0.42630192743328443</v>
      </c>
      <c r="AJ32" s="8">
        <f>AJ11</f>
        <v>0.46447102528934281</v>
      </c>
      <c r="AK32" s="9">
        <f>AK11</f>
        <v>0.87802809370391643</v>
      </c>
    </row>
    <row r="33" spans="13:37" ht="16.5" x14ac:dyDescent="0.35">
      <c r="M33" t="s">
        <v>38</v>
      </c>
      <c r="N33" s="14">
        <f>STDEV(N6:N30)</f>
        <v>2.1158134763411134</v>
      </c>
      <c r="O33" s="8">
        <f>STDEV(O6:O30)</f>
        <v>1.9790570145063195</v>
      </c>
      <c r="P33" s="8">
        <f>STDEV(P6:P30)</f>
        <v>2.1315096371664222</v>
      </c>
      <c r="Q33" s="8">
        <f>STDEV(Q6:Q30)</f>
        <v>2.3223551264467139</v>
      </c>
      <c r="R33" s="9">
        <f>STDEV(R6:R30)</f>
        <v>4.390140468519582</v>
      </c>
      <c r="T33" t="s">
        <v>31</v>
      </c>
      <c r="U33" s="18" t="e">
        <f ca="1">HotellingT2(B6:F30,H6:L30,1)</f>
        <v>#NAME?</v>
      </c>
      <c r="W33" t="e">
        <f t="array" aca="1" ref="W33:X37" ca="1">Hotelling(B6:F30,H6:L30,1,TRUE)</f>
        <v>#NAME?</v>
      </c>
      <c r="X33" s="18" t="e">
        <f ca="1"/>
        <v>#NAME?</v>
      </c>
      <c r="AF33" t="s">
        <v>27</v>
      </c>
      <c r="AG33" s="3">
        <f>AG24-AG31*AG32</f>
        <v>-3.0266282668167936</v>
      </c>
      <c r="AH33" s="4">
        <f>AH24-AH31*AH32</f>
        <v>0.40368034310884027</v>
      </c>
      <c r="AI33" s="4">
        <f>AI24-AI31*AI32</f>
        <v>-2.4392888874454597</v>
      </c>
      <c r="AJ33" s="4">
        <f>AJ24-AJ31*AJ32</f>
        <v>-2.1932260422288135</v>
      </c>
      <c r="AK33" s="5">
        <f>AK24-AK31*AK32</f>
        <v>-0.7811145181986352</v>
      </c>
    </row>
    <row r="34" spans="13:37" x14ac:dyDescent="0.35">
      <c r="T34" t="s">
        <v>32</v>
      </c>
      <c r="U34" s="19" t="e">
        <f ca="1">HotellingF(B6:F30,H6:L30,1)</f>
        <v>#NAME?</v>
      </c>
      <c r="W34" t="e">
        <f ca="1"/>
        <v>#NAME?</v>
      </c>
      <c r="X34" s="19" t="e">
        <f ca="1"/>
        <v>#NAME?</v>
      </c>
      <c r="AF34" t="s">
        <v>28</v>
      </c>
      <c r="AG34" s="14">
        <f>AG24+AG31*AG32</f>
        <v>0.38662826681679352</v>
      </c>
      <c r="AH34" s="8">
        <f>AH24+AH31*AH32</f>
        <v>3.5963196568911595</v>
      </c>
      <c r="AI34" s="8">
        <f>AI24+AI31*AI32</f>
        <v>0.99928888744545974</v>
      </c>
      <c r="AJ34" s="8">
        <f>AJ24+AJ31*AJ32</f>
        <v>1.5532260422288133</v>
      </c>
      <c r="AK34" s="9">
        <f>AK24+AK31*AK32</f>
        <v>6.3011145181986343</v>
      </c>
    </row>
    <row r="35" spans="13:37" x14ac:dyDescent="0.35">
      <c r="T35" t="s">
        <v>33</v>
      </c>
      <c r="U35" s="19" t="e">
        <f ca="1">Hotellingdf1(B6:F30,H6:L30,1)</f>
        <v>#NAME?</v>
      </c>
      <c r="W35" t="e">
        <f ca="1"/>
        <v>#NAME?</v>
      </c>
      <c r="X35" s="19" t="e">
        <f ca="1"/>
        <v>#NAME?</v>
      </c>
      <c r="AF35" t="s">
        <v>39</v>
      </c>
      <c r="AG35" s="22" t="str">
        <f>IF(AG34&lt;0,"low",IF(0&lt;AG33,"high","ok"))</f>
        <v>ok</v>
      </c>
      <c r="AH35" s="23" t="str">
        <f>IF(AH34&lt;0,"low",IF(0&lt;AH33,"high","ok"))</f>
        <v>high</v>
      </c>
      <c r="AI35" s="23" t="str">
        <f>IF(AI34&lt;0,"low",IF(0&lt;AI33,"high","ok"))</f>
        <v>ok</v>
      </c>
      <c r="AJ35" s="23" t="str">
        <f>IF(AJ34&lt;0,"low",IF(0&lt;AJ33,"high","ok"))</f>
        <v>ok</v>
      </c>
      <c r="AK35" s="24" t="str">
        <f>IF(AK34&lt;0,"low",IF(0&lt;AK33,"high","ok"))</f>
        <v>ok</v>
      </c>
    </row>
    <row r="36" spans="13:37" x14ac:dyDescent="0.35">
      <c r="T36" t="s">
        <v>34</v>
      </c>
      <c r="U36" s="19" t="e">
        <f ca="1">Hotellingdf2(B6:F30,H6:L30,1)</f>
        <v>#NAME?</v>
      </c>
      <c r="W36" t="e">
        <f ca="1"/>
        <v>#NAME?</v>
      </c>
      <c r="X36" s="19" t="e">
        <f ca="1"/>
        <v>#NAME?</v>
      </c>
    </row>
    <row r="37" spans="13:37" x14ac:dyDescent="0.35">
      <c r="T37" t="s">
        <v>25</v>
      </c>
      <c r="U37" s="21" t="e">
        <f ca="1">T2TEST(B6:F30,H6:L30,1)</f>
        <v>#NAME?</v>
      </c>
      <c r="W37" t="e">
        <f ca="1"/>
        <v>#NAME?</v>
      </c>
      <c r="X37" s="21" t="e">
        <f ca="1"/>
        <v>#NAME?</v>
      </c>
      <c r="AF37" t="s">
        <v>40</v>
      </c>
    </row>
    <row r="39" spans="13:37" x14ac:dyDescent="0.35">
      <c r="AG39" s="10" t="str">
        <f t="shared" ref="AG39:AK45" si="3">AG6</f>
        <v>Style</v>
      </c>
      <c r="AH39" s="10" t="str">
        <f t="shared" si="3"/>
        <v>Comfort</v>
      </c>
      <c r="AI39" s="10" t="str">
        <f t="shared" si="3"/>
        <v>Stability</v>
      </c>
      <c r="AJ39" s="10" t="str">
        <f t="shared" si="3"/>
        <v>Cushion</v>
      </c>
      <c r="AK39" s="10" t="str">
        <f t="shared" si="3"/>
        <v>Durability</v>
      </c>
    </row>
    <row r="40" spans="13:37" x14ac:dyDescent="0.35">
      <c r="AF40" t="s">
        <v>14</v>
      </c>
      <c r="AG40" s="25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7">
        <f t="shared" si="3"/>
        <v>0</v>
      </c>
    </row>
    <row r="41" spans="13:37" x14ac:dyDescent="0.35">
      <c r="AF41" t="s">
        <v>15</v>
      </c>
      <c r="AG41" s="28">
        <f t="shared" si="3"/>
        <v>-1.32</v>
      </c>
      <c r="AH41" s="10">
        <f t="shared" si="3"/>
        <v>2</v>
      </c>
      <c r="AI41" s="10">
        <f t="shared" si="3"/>
        <v>-0.72</v>
      </c>
      <c r="AJ41" s="10">
        <f t="shared" si="3"/>
        <v>-0.32</v>
      </c>
      <c r="AK41" s="29">
        <f t="shared" si="3"/>
        <v>2.76</v>
      </c>
    </row>
    <row r="42" spans="13:37" x14ac:dyDescent="0.35">
      <c r="AF42" t="s">
        <v>16</v>
      </c>
      <c r="AG42" s="28">
        <f t="shared" si="3"/>
        <v>2.1158134763411134</v>
      </c>
      <c r="AH42" s="10">
        <f t="shared" si="3"/>
        <v>1.9790570145063195</v>
      </c>
      <c r="AI42" s="10">
        <f t="shared" si="3"/>
        <v>2.1315096371664222</v>
      </c>
      <c r="AJ42" s="10">
        <f t="shared" si="3"/>
        <v>2.3223551264467139</v>
      </c>
      <c r="AK42" s="29">
        <f t="shared" si="3"/>
        <v>4.390140468519582</v>
      </c>
    </row>
    <row r="43" spans="13:37" x14ac:dyDescent="0.35">
      <c r="AF43" t="s">
        <v>17</v>
      </c>
      <c r="AG43" s="28">
        <f t="shared" si="3"/>
        <v>25</v>
      </c>
      <c r="AH43" s="10">
        <f t="shared" si="3"/>
        <v>25</v>
      </c>
      <c r="AI43" s="10">
        <f t="shared" si="3"/>
        <v>25</v>
      </c>
      <c r="AJ43" s="10">
        <f t="shared" si="3"/>
        <v>25</v>
      </c>
      <c r="AK43" s="29">
        <f t="shared" si="3"/>
        <v>25</v>
      </c>
    </row>
    <row r="44" spans="13:37" x14ac:dyDescent="0.35">
      <c r="AF44" t="s">
        <v>18</v>
      </c>
      <c r="AG44" s="28">
        <f t="shared" si="3"/>
        <v>0.4231626952682227</v>
      </c>
      <c r="AH44" s="10">
        <f t="shared" si="3"/>
        <v>0.39581140290126393</v>
      </c>
      <c r="AI44" s="10">
        <f t="shared" si="3"/>
        <v>0.42630192743328443</v>
      </c>
      <c r="AJ44" s="10">
        <f t="shared" si="3"/>
        <v>0.46447102528934281</v>
      </c>
      <c r="AK44" s="29">
        <f t="shared" si="3"/>
        <v>0.87802809370391643</v>
      </c>
    </row>
    <row r="45" spans="13:37" x14ac:dyDescent="0.35">
      <c r="AF45" t="s">
        <v>21</v>
      </c>
      <c r="AG45" s="28">
        <f t="shared" si="3"/>
        <v>24</v>
      </c>
      <c r="AH45" s="10">
        <f t="shared" si="3"/>
        <v>24</v>
      </c>
      <c r="AI45" s="10">
        <f t="shared" si="3"/>
        <v>24</v>
      </c>
      <c r="AJ45" s="10">
        <f t="shared" si="3"/>
        <v>24</v>
      </c>
      <c r="AK45" s="29">
        <f t="shared" si="3"/>
        <v>24</v>
      </c>
    </row>
    <row r="46" spans="13:37" x14ac:dyDescent="0.35">
      <c r="AF46" t="s">
        <v>22</v>
      </c>
      <c r="AG46" s="28">
        <f>AG13/AG26</f>
        <v>0.01</v>
      </c>
      <c r="AH46">
        <f>AG46</f>
        <v>0.01</v>
      </c>
      <c r="AI46">
        <f>AH46</f>
        <v>0.01</v>
      </c>
      <c r="AJ46">
        <f>AI46</f>
        <v>0.01</v>
      </c>
      <c r="AK46" s="7">
        <f>AJ46</f>
        <v>0.01</v>
      </c>
    </row>
    <row r="47" spans="13:37" x14ac:dyDescent="0.35">
      <c r="AF47" t="s">
        <v>23</v>
      </c>
      <c r="AG47" s="11">
        <f>(AG41-AG40)/(AG42/SQRT(AG43))</f>
        <v>-3.119367597286228</v>
      </c>
      <c r="AH47">
        <f>(AH41-AH40)/(AH42/SQRT(AH43))</f>
        <v>5.0529115263991136</v>
      </c>
      <c r="AI47">
        <f>(AI41-AI40)/(AI42/SQRT(AI43))</f>
        <v>-1.6889438064121323</v>
      </c>
      <c r="AJ47">
        <f>(AJ41-AJ40)/(AJ42/SQRT(AJ43))</f>
        <v>-0.68895578534883983</v>
      </c>
      <c r="AK47" s="7">
        <f>(AK41-AK40)/(AK42/SQRT(AK43))</f>
        <v>3.1434073918490255</v>
      </c>
    </row>
    <row r="48" spans="13:37" x14ac:dyDescent="0.35">
      <c r="AF48" t="s">
        <v>24</v>
      </c>
      <c r="AG48" s="14">
        <f>TINV(AG46,AG45)</f>
        <v>2.7969395047744556</v>
      </c>
      <c r="AH48" s="8">
        <f>TINV(AH46,AH45)</f>
        <v>2.7969395047744556</v>
      </c>
      <c r="AI48" s="8">
        <f>TINV(AI46,AI45)</f>
        <v>2.7969395047744556</v>
      </c>
      <c r="AJ48" s="8">
        <f>TINV(AJ46,AJ45)</f>
        <v>2.7969395047744556</v>
      </c>
      <c r="AK48" s="9">
        <f>TINV(AK46,AK45)</f>
        <v>2.7969395047744556</v>
      </c>
    </row>
    <row r="49" spans="32:37" x14ac:dyDescent="0.35">
      <c r="AF49" t="s">
        <v>25</v>
      </c>
      <c r="AG49" s="3">
        <f>TDIST(ABS(AG47),AG45,2)</f>
        <v>4.6653934159287883E-3</v>
      </c>
      <c r="AH49" s="4">
        <f>TDIST(ABS(AH47),AH45,2)</f>
        <v>3.6354467564221652E-5</v>
      </c>
      <c r="AI49" s="4">
        <f>TDIST(ABS(AI47),AI45,2)</f>
        <v>0.10418264069765802</v>
      </c>
      <c r="AJ49" s="4">
        <f>TDIST(ABS(AJ47),AJ45,2)</f>
        <v>0.49745808082521559</v>
      </c>
      <c r="AK49" s="5">
        <f>TDIST(ABS(AK47),AK45,2)</f>
        <v>4.403161558730921E-3</v>
      </c>
    </row>
    <row r="50" spans="32:37" x14ac:dyDescent="0.35">
      <c r="AF50" t="s">
        <v>26</v>
      </c>
      <c r="AG50" s="15" t="str">
        <f>IF(AG49&lt;=AG46,"yes","no")</f>
        <v>yes</v>
      </c>
      <c r="AH50" s="16" t="str">
        <f>IF(AH49&lt;=AH46,"yes","no")</f>
        <v>yes</v>
      </c>
      <c r="AI50" s="16" t="str">
        <f>IF(AI49&lt;=AI46,"yes","no")</f>
        <v>no</v>
      </c>
      <c r="AJ50" s="16" t="str">
        <f>IF(AJ49&lt;=AJ46,"yes","no")</f>
        <v>no</v>
      </c>
      <c r="AK50" s="17" t="str">
        <f>IF(AK49&lt;=AK46,"yes","no")</f>
        <v>yes</v>
      </c>
    </row>
    <row r="51" spans="32:37" x14ac:dyDescent="0.35">
      <c r="AF51" t="s">
        <v>27</v>
      </c>
      <c r="AG51" s="3">
        <f>AG41-AG48*AG44</f>
        <v>-2.5035604593425269</v>
      </c>
      <c r="AH51" s="4">
        <f>AH41-AH48*AH44</f>
        <v>0.89293945078525638</v>
      </c>
      <c r="AI51" s="4">
        <f>AI41-AI48*AI44</f>
        <v>-1.9123407017996465</v>
      </c>
      <c r="AJ51" s="4">
        <f>AJ41-AJ48*AJ44</f>
        <v>-1.6190973594548581</v>
      </c>
      <c r="AK51" s="5">
        <f>AK41-AK48*AK44</f>
        <v>0.30420853841770823</v>
      </c>
    </row>
    <row r="52" spans="32:37" x14ac:dyDescent="0.35">
      <c r="AF52" t="s">
        <v>28</v>
      </c>
      <c r="AG52" s="14">
        <f>AG41+AG48*AG44</f>
        <v>-0.13643954065747343</v>
      </c>
      <c r="AH52" s="8">
        <f>AH41+AH48*AH44</f>
        <v>3.1070605492147436</v>
      </c>
      <c r="AI52" s="8">
        <f>AI41+AI48*AI44</f>
        <v>0.4723407017996466</v>
      </c>
      <c r="AJ52" s="8">
        <f>AJ41+AJ48*AJ44</f>
        <v>0.97909735945485799</v>
      </c>
      <c r="AK52" s="9">
        <f>AK41+AK48*AK44</f>
        <v>5.2157914615822918</v>
      </c>
    </row>
    <row r="53" spans="32:37" x14ac:dyDescent="0.35">
      <c r="AF53" t="s">
        <v>39</v>
      </c>
      <c r="AG53" s="22" t="str">
        <f>IF(AG52&lt;0,"low",IF(0&lt;AG51,"high","ok"))</f>
        <v>low</v>
      </c>
      <c r="AH53" s="23" t="str">
        <f>IF(AH52&lt;0,"low",IF(0&lt;AH51,"high","ok"))</f>
        <v>high</v>
      </c>
      <c r="AI53" s="23" t="str">
        <f>IF(AI52&lt;0,"low",IF(0&lt;AI51,"high","ok"))</f>
        <v>ok</v>
      </c>
      <c r="AJ53" s="23" t="str">
        <f>IF(AJ52&lt;0,"low",IF(0&lt;AJ51,"high","ok"))</f>
        <v>ok</v>
      </c>
      <c r="AK53" s="24" t="str">
        <f>IF(AK52&lt;0,"low",IF(0&lt;AK51,"high","ok"))</f>
        <v>high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Hotel 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2025-10-28T17:55:14Z</dcterms:created>
  <dcterms:modified xsi:type="dcterms:W3CDTF">2025-10-28T17:57:14Z</dcterms:modified>
</cp:coreProperties>
</file>