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7266C948-3823-4EFA-B3F0-8729CB5CB333}" xr6:coauthVersionLast="47" xr6:coauthVersionMax="47" xr10:uidLastSave="{00000000-0000-0000-0000-000000000000}"/>
  <bookViews>
    <workbookView xWindow="-110" yWindow="-110" windowWidth="19420" windowHeight="10300" xr2:uid="{FAA9BBA7-95B6-4A80-9324-951B68494D23}"/>
  </bookViews>
  <sheets>
    <sheet name="Title" sheetId="2" r:id="rId1"/>
    <sheet name="Hotel 1" sheetId="1" r:id="rId2"/>
  </sheets>
  <externalReferences>
    <externalReference r:id="rId3"/>
  </externalReferences>
  <definedNames>
    <definedName name="r_0">[1]Sheet17!$A$3:$A$264</definedName>
    <definedName name="r_1">[1]Sheet17!$B$3:$B$264</definedName>
    <definedName name="r_2">[1]Sheet17!$C$3:$C$264</definedName>
    <definedName name="r_3">[1]Sheet17!$D$3:$D$264</definedName>
    <definedName name="r_4">[1]Sheet17!$E$3:$E$264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7" i="1" l="1" a="1"/>
  <c r="K37" i="1" s="1"/>
  <c r="H37" i="1" a="1"/>
  <c r="I41" i="1" s="1"/>
  <c r="I35" i="1"/>
  <c r="I34" i="1"/>
  <c r="I33" i="1"/>
  <c r="I32" i="1"/>
  <c r="I31" i="1"/>
  <c r="K27" i="1" a="1"/>
  <c r="K27" i="1" s="1"/>
  <c r="K26" i="1" a="1"/>
  <c r="K26" i="1" s="1"/>
  <c r="K25" i="1" a="1"/>
  <c r="K25" i="1" s="1"/>
  <c r="K23" i="1" a="1"/>
  <c r="K23" i="1" s="1"/>
  <c r="K22" i="1" a="1"/>
  <c r="K22" i="1" s="1"/>
  <c r="K21" i="1" a="1"/>
  <c r="K21" i="1" s="1"/>
  <c r="K20" i="1" a="1"/>
  <c r="K20" i="1" s="1"/>
  <c r="K19" i="1" a="1"/>
  <c r="K19" i="1" s="1"/>
  <c r="K18" i="1" a="1"/>
  <c r="K18" i="1" s="1"/>
  <c r="N12" i="1" a="1"/>
  <c r="R16" i="1" s="1"/>
  <c r="H12" i="1" a="1"/>
  <c r="L14" i="1" s="1"/>
  <c r="W44" i="1"/>
  <c r="W61" i="1" s="1"/>
  <c r="V44" i="1"/>
  <c r="V61" i="1" s="1"/>
  <c r="U44" i="1"/>
  <c r="U61" i="1" s="1"/>
  <c r="F31" i="1"/>
  <c r="E31" i="1"/>
  <c r="D31" i="1"/>
  <c r="C31" i="1"/>
  <c r="B31" i="1"/>
  <c r="J4" i="1" s="1" a="1"/>
  <c r="F30" i="1"/>
  <c r="E30" i="1"/>
  <c r="D30" i="1"/>
  <c r="C30" i="1"/>
  <c r="B30" i="1"/>
  <c r="V27" i="1"/>
  <c r="W27" i="1" s="1"/>
  <c r="X27" i="1" s="1"/>
  <c r="Y27" i="1" s="1"/>
  <c r="U27" i="1"/>
  <c r="U23" i="1"/>
  <c r="V23" i="1" s="1"/>
  <c r="W23" i="1" s="1"/>
  <c r="X23" i="1" s="1"/>
  <c r="Y23" i="1" s="1"/>
  <c r="U21" i="1"/>
  <c r="U36" i="1" s="1"/>
  <c r="I19" i="1"/>
  <c r="U24" i="1" s="1"/>
  <c r="I18" i="1"/>
  <c r="W11" i="1"/>
  <c r="V11" i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Y4" i="1"/>
  <c r="X4" i="1"/>
  <c r="W4" i="1"/>
  <c r="W21" i="1" s="1"/>
  <c r="W36" i="1" s="1"/>
  <c r="V4" i="1"/>
  <c r="V21" i="1" s="1"/>
  <c r="V36" i="1" s="1"/>
  <c r="U4" i="1"/>
  <c r="H13" i="1" l="1"/>
  <c r="H15" i="1"/>
  <c r="I15" i="1"/>
  <c r="J15" i="1"/>
  <c r="K15" i="1"/>
  <c r="P12" i="1"/>
  <c r="I12" i="1"/>
  <c r="Q14" i="1"/>
  <c r="K12" i="1"/>
  <c r="R14" i="1"/>
  <c r="L12" i="1"/>
  <c r="I13" i="1"/>
  <c r="K14" i="1"/>
  <c r="H37" i="1"/>
  <c r="I37" i="1"/>
  <c r="H38" i="1"/>
  <c r="I38" i="1"/>
  <c r="H39" i="1"/>
  <c r="O12" i="1"/>
  <c r="I39" i="1"/>
  <c r="J13" i="1"/>
  <c r="L15" i="1"/>
  <c r="N13" i="1"/>
  <c r="P15" i="1"/>
  <c r="K13" i="1"/>
  <c r="H16" i="1"/>
  <c r="O13" i="1"/>
  <c r="Q15" i="1"/>
  <c r="L13" i="1"/>
  <c r="I16" i="1"/>
  <c r="P13" i="1"/>
  <c r="R15" i="1"/>
  <c r="H40" i="1"/>
  <c r="H14" i="1"/>
  <c r="J16" i="1"/>
  <c r="Q13" i="1"/>
  <c r="N16" i="1"/>
  <c r="I40" i="1"/>
  <c r="Q12" i="1"/>
  <c r="N15" i="1"/>
  <c r="R12" i="1"/>
  <c r="O15" i="1"/>
  <c r="I14" i="1"/>
  <c r="K16" i="1"/>
  <c r="R13" i="1"/>
  <c r="O16" i="1"/>
  <c r="H41" i="1"/>
  <c r="H12" i="1"/>
  <c r="I20" i="1" s="1" a="1"/>
  <c r="I20" i="1" s="1"/>
  <c r="J14" i="1"/>
  <c r="L16" i="1"/>
  <c r="N14" i="1"/>
  <c r="P16" i="1"/>
  <c r="O14" i="1"/>
  <c r="Q16" i="1"/>
  <c r="J12" i="1"/>
  <c r="N12" i="1"/>
  <c r="P14" i="1"/>
  <c r="K8" i="1"/>
  <c r="J8" i="1"/>
  <c r="K7" i="1"/>
  <c r="K5" i="1"/>
  <c r="J7" i="1"/>
  <c r="K6" i="1"/>
  <c r="J6" i="1"/>
  <c r="J5" i="1"/>
  <c r="K4" i="1"/>
  <c r="J4" i="1"/>
  <c r="U5" i="1" s="1" a="1"/>
  <c r="I23" i="1"/>
  <c r="U26" i="1" s="1"/>
  <c r="V26" i="1" s="1"/>
  <c r="W26" i="1" s="1"/>
  <c r="X26" i="1" s="1"/>
  <c r="Y26" i="1" s="1"/>
  <c r="U8" i="1"/>
  <c r="X11" i="1"/>
  <c r="X21" i="1"/>
  <c r="X36" i="1" s="1"/>
  <c r="X44" i="1"/>
  <c r="X61" i="1" s="1"/>
  <c r="V24" i="1"/>
  <c r="Y44" i="1"/>
  <c r="Y61" i="1" s="1"/>
  <c r="Y21" i="1"/>
  <c r="Y36" i="1" s="1"/>
  <c r="U51" i="1"/>
  <c r="I22" i="1"/>
  <c r="Y5" i="1" l="1"/>
  <c r="X5" i="1"/>
  <c r="W6" i="1"/>
  <c r="V6" i="1"/>
  <c r="Y7" i="1"/>
  <c r="U5" i="1"/>
  <c r="X7" i="1"/>
  <c r="U6" i="1"/>
  <c r="W5" i="1"/>
  <c r="V5" i="1"/>
  <c r="Y6" i="1"/>
  <c r="W7" i="1"/>
  <c r="V7" i="1"/>
  <c r="U7" i="1"/>
  <c r="X6" i="1"/>
  <c r="U25" i="1"/>
  <c r="V25" i="1" s="1"/>
  <c r="W25" i="1" s="1"/>
  <c r="X25" i="1" s="1"/>
  <c r="Y25" i="1" s="1"/>
  <c r="I25" i="1"/>
  <c r="U28" i="1" s="1"/>
  <c r="V51" i="1"/>
  <c r="Y11" i="1"/>
  <c r="P31" i="1"/>
  <c r="I21" i="1"/>
  <c r="I26" i="1" s="1"/>
  <c r="I27" i="1" s="1"/>
  <c r="W24" i="1"/>
  <c r="U48" i="1"/>
  <c r="U10" i="1"/>
  <c r="V8" i="1"/>
  <c r="W47" i="1" l="1"/>
  <c r="Y22" i="1"/>
  <c r="Y46" i="1"/>
  <c r="V45" i="1"/>
  <c r="V62" i="1" s="1"/>
  <c r="V37" i="1"/>
  <c r="W45" i="1"/>
  <c r="W62" i="1" s="1"/>
  <c r="W37" i="1"/>
  <c r="W51" i="1"/>
  <c r="U46" i="1"/>
  <c r="U12" i="1"/>
  <c r="U14" i="1" s="1"/>
  <c r="U15" i="1" s="1"/>
  <c r="U22" i="1"/>
  <c r="X47" i="1"/>
  <c r="U37" i="1"/>
  <c r="U45" i="1"/>
  <c r="U62" i="1" s="1"/>
  <c r="V48" i="1"/>
  <c r="W8" i="1"/>
  <c r="V10" i="1"/>
  <c r="P33" i="1"/>
  <c r="Y47" i="1"/>
  <c r="U13" i="1"/>
  <c r="U17" i="1" s="1"/>
  <c r="U50" i="1"/>
  <c r="U53" i="1" s="1"/>
  <c r="V22" i="1"/>
  <c r="V46" i="1"/>
  <c r="V12" i="1"/>
  <c r="V14" i="1" s="1"/>
  <c r="V15" i="1" s="1"/>
  <c r="X46" i="1"/>
  <c r="X22" i="1"/>
  <c r="W46" i="1"/>
  <c r="W12" i="1"/>
  <c r="W22" i="1"/>
  <c r="X24" i="1"/>
  <c r="U9" i="1"/>
  <c r="U47" i="1"/>
  <c r="X45" i="1"/>
  <c r="X62" i="1" s="1"/>
  <c r="X37" i="1"/>
  <c r="V28" i="1"/>
  <c r="U29" i="1"/>
  <c r="V9" i="1"/>
  <c r="V47" i="1"/>
  <c r="Y45" i="1"/>
  <c r="Y62" i="1" s="1"/>
  <c r="Y37" i="1"/>
  <c r="Y24" i="1" l="1"/>
  <c r="V30" i="1"/>
  <c r="V31" i="1" s="1"/>
  <c r="V38" i="1" s="1"/>
  <c r="V49" i="1"/>
  <c r="U16" i="1"/>
  <c r="W52" i="1"/>
  <c r="U52" i="1"/>
  <c r="U54" i="1" s="1"/>
  <c r="U55" i="1" s="1"/>
  <c r="V56" i="1"/>
  <c r="V63" i="1" s="1"/>
  <c r="V57" i="1"/>
  <c r="V64" i="1" s="1"/>
  <c r="V65" i="1" s="1"/>
  <c r="V52" i="1"/>
  <c r="V54" i="1" s="1"/>
  <c r="V55" i="1" s="1"/>
  <c r="W28" i="1"/>
  <c r="V29" i="1"/>
  <c r="V50" i="1"/>
  <c r="V53" i="1" s="1"/>
  <c r="V13" i="1"/>
  <c r="X51" i="1"/>
  <c r="U49" i="1"/>
  <c r="U56" i="1" s="1"/>
  <c r="U63" i="1" s="1"/>
  <c r="U30" i="1"/>
  <c r="U31" i="1" s="1"/>
  <c r="U38" i="1" s="1"/>
  <c r="W48" i="1"/>
  <c r="X8" i="1"/>
  <c r="W10" i="1"/>
  <c r="W9" i="1"/>
  <c r="V17" i="1" l="1"/>
  <c r="V16" i="1"/>
  <c r="W30" i="1"/>
  <c r="W49" i="1"/>
  <c r="U57" i="1"/>
  <c r="U64" i="1" s="1"/>
  <c r="U65" i="1" s="1"/>
  <c r="V32" i="1"/>
  <c r="V39" i="1" s="1"/>
  <c r="V40" i="1" s="1"/>
  <c r="W50" i="1"/>
  <c r="W53" i="1" s="1"/>
  <c r="W13" i="1"/>
  <c r="X10" i="1"/>
  <c r="X48" i="1"/>
  <c r="X52" i="1" s="1"/>
  <c r="Y8" i="1"/>
  <c r="X12" i="1"/>
  <c r="X14" i="1" s="1"/>
  <c r="X15" i="1" s="1"/>
  <c r="X9" i="1"/>
  <c r="W14" i="1"/>
  <c r="W15" i="1" s="1"/>
  <c r="X28" i="1"/>
  <c r="W29" i="1"/>
  <c r="Y51" i="1"/>
  <c r="U32" i="1"/>
  <c r="U39" i="1" s="1"/>
  <c r="U40" i="1" s="1"/>
  <c r="W54" i="1"/>
  <c r="W55" i="1" s="1"/>
  <c r="Y10" i="1" l="1"/>
  <c r="Y48" i="1"/>
  <c r="Y52" i="1" s="1"/>
  <c r="Y9" i="1"/>
  <c r="Y12" i="1"/>
  <c r="X50" i="1"/>
  <c r="X53" i="1" s="1"/>
  <c r="X13" i="1"/>
  <c r="W57" i="1"/>
  <c r="W64" i="1" s="1"/>
  <c r="W56" i="1"/>
  <c r="W63" i="1" s="1"/>
  <c r="W31" i="1"/>
  <c r="W38" i="1" s="1"/>
  <c r="W32" i="1"/>
  <c r="W39" i="1" s="1"/>
  <c r="W40" i="1" s="1"/>
  <c r="W17" i="1"/>
  <c r="W16" i="1"/>
  <c r="Y28" i="1"/>
  <c r="Y29" i="1" s="1"/>
  <c r="X29" i="1"/>
  <c r="X30" i="1"/>
  <c r="X49" i="1"/>
  <c r="X17" i="1" l="1"/>
  <c r="X16" i="1"/>
  <c r="Y50" i="1"/>
  <c r="Y53" i="1" s="1"/>
  <c r="Y13" i="1"/>
  <c r="W65" i="1"/>
  <c r="X57" i="1"/>
  <c r="X64" i="1" s="1"/>
  <c r="X65" i="1" s="1"/>
  <c r="X56" i="1"/>
  <c r="X63" i="1" s="1"/>
  <c r="X54" i="1"/>
  <c r="X55" i="1" s="1"/>
  <c r="X31" i="1"/>
  <c r="X38" i="1" s="1"/>
  <c r="X32" i="1"/>
  <c r="X39" i="1" s="1"/>
  <c r="X40" i="1" s="1"/>
  <c r="Y14" i="1"/>
  <c r="Y15" i="1" s="1"/>
  <c r="Y32" i="1"/>
  <c r="Y39" i="1" s="1"/>
  <c r="Y31" i="1"/>
  <c r="Y38" i="1" s="1"/>
  <c r="Y30" i="1"/>
  <c r="Y49" i="1"/>
  <c r="Y17" i="1" l="1"/>
  <c r="Y16" i="1"/>
  <c r="Y56" i="1"/>
  <c r="Y63" i="1" s="1"/>
  <c r="Y57" i="1"/>
  <c r="Y64" i="1" s="1"/>
  <c r="Y65" i="1" s="1"/>
  <c r="Y54" i="1"/>
  <c r="Y55" i="1" s="1"/>
  <c r="Y40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<sst xmlns="http://schemas.openxmlformats.org/spreadsheetml/2006/main" count="97" uniqueCount="52">
  <si>
    <t>Hotelling T-square: One Sample</t>
  </si>
  <si>
    <t>Individual t-tests</t>
  </si>
  <si>
    <t>Subject</t>
  </si>
  <si>
    <t>Style</t>
  </si>
  <si>
    <t>Comfort</t>
  </si>
  <si>
    <t>Stability</t>
  </si>
  <si>
    <t>Cushion</t>
  </si>
  <si>
    <t>Durability</t>
  </si>
  <si>
    <t>Goal</t>
  </si>
  <si>
    <t>Mean</t>
  </si>
  <si>
    <t>Stdev</t>
  </si>
  <si>
    <t>goal</t>
  </si>
  <si>
    <t>mean</t>
  </si>
  <si>
    <t>s</t>
  </si>
  <si>
    <t>n</t>
  </si>
  <si>
    <t>se</t>
  </si>
  <si>
    <t>Sample Covariance Matrix (S)</t>
  </si>
  <si>
    <t>Correlation Matrix</t>
  </si>
  <si>
    <t>df</t>
  </si>
  <si>
    <t>α</t>
  </si>
  <si>
    <t>t</t>
  </si>
  <si>
    <t>t-crit</t>
  </si>
  <si>
    <t>p-value</t>
  </si>
  <si>
    <t>sig</t>
  </si>
  <si>
    <t>lower</t>
  </si>
  <si>
    <t>upper</t>
  </si>
  <si>
    <t>k</t>
  </si>
  <si>
    <t>Simultaneous confidence intervals</t>
  </si>
  <si>
    <r>
      <t>T</t>
    </r>
    <r>
      <rPr>
        <vertAlign val="superscript"/>
        <sz val="11"/>
        <color theme="1"/>
        <rFont val="Calibri"/>
        <family val="2"/>
        <scheme val="minor"/>
      </rPr>
      <t>2</t>
    </r>
  </si>
  <si>
    <t>F</t>
  </si>
  <si>
    <t>df1</t>
  </si>
  <si>
    <t>df2</t>
  </si>
  <si>
    <t>F-crit</t>
  </si>
  <si>
    <t>P-value</t>
  </si>
  <si>
    <t>Real Statistics</t>
  </si>
  <si>
    <t>Effect Size</t>
  </si>
  <si>
    <t>stdev</t>
  </si>
  <si>
    <t>=HotellingT2(B4:F28,I4:I8,0)</t>
  </si>
  <si>
    <t>D-sq</t>
  </si>
  <si>
    <t>=HotellingF(B4:F28,I4:I8,0)</t>
  </si>
  <si>
    <t>=Hotellingdf1(B4:F28,I4:I8,0)</t>
  </si>
  <si>
    <t>part eta-sq</t>
  </si>
  <si>
    <t>=Hotellingdf2(B4:F28,I4:I8,0)</t>
  </si>
  <si>
    <t>Comparison with goals (simultaneous confidence intervals)</t>
  </si>
  <si>
    <t>=T2TEST(B4:F28,I4:I8,0)</t>
  </si>
  <si>
    <t>ok</t>
  </si>
  <si>
    <t>Bonferroni t-tests</t>
  </si>
  <si>
    <t>Comparison with goals (Bonferroni confidence intervals)</t>
  </si>
  <si>
    <t>Real Statistics Using Excel</t>
  </si>
  <si>
    <t>Updated</t>
  </si>
  <si>
    <t>Copyright © 2013 - 2025 Charles Zaiontz</t>
  </si>
  <si>
    <t>One Sample Hotelling’s T-square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</si>
</sst>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Alignment="1">
      <alignment horizontal="right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9" xfId="0" applyBorder="1"/>
    <xf numFmtId="0" fontId="0" fillId="0" borderId="0" xfId="0" quotePrefix="1"/>
    <xf numFmtId="0" fontId="0" fillId="0" borderId="10" xfId="0" applyBorder="1"/>
    <xf numFmtId="0" fontId="0" fillId="0" borderId="11" xfId="0" applyBorder="1" applyAlignment="1">
      <alignment horizontal="right"/>
    </xf>
    <xf numFmtId="0" fontId="0" fillId="0" borderId="12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4" xfId="0" applyBorder="1" applyAlignment="1">
      <alignment horizontal="right"/>
    </xf>
    <xf numFmtId="15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EC0AA-0B60-41F6-B44B-D0B013CDDD4F}"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48</v>
      </c>
    </row>
    <row r="2" spans="1:2" x14ac:dyDescent="0.35">
      <c r="A2" t="s">
        <v>51</v>
      </c>
    </row>
    <row r="4" spans="1:2" x14ac:dyDescent="0.35">
      <c r="A4" t="s">
        <v>49</v>
      </c>
      <c r="B4" s="32">
        <v>45958</v>
      </c>
    </row>
    <row r="6" spans="1:2" x14ac:dyDescent="0.35">
      <c r="A6" s="33" t="s">
        <v>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A1B2E-BAA0-441D-8F0B-57909575229A}">
  <dimension ref="A1:Y65"/>
  <sheetViews>
    <sheetView zoomScaleNormal="100" workbookViewId="0"/>
  </sheetViews>
  <sheetFormatPr defaultRowHeight="14.5" x14ac:dyDescent="0.35"/>
  <cols>
    <col min="7" max="8" width="8.54296875" customWidth="1"/>
    <col min="9" max="12" width="8.7265625" customWidth="1"/>
    <col min="20" max="20" width="11.26953125" customWidth="1"/>
  </cols>
  <sheetData>
    <row r="1" spans="1:25" x14ac:dyDescent="0.35">
      <c r="A1" s="1" t="s">
        <v>0</v>
      </c>
    </row>
    <row r="2" spans="1:25" x14ac:dyDescent="0.35">
      <c r="T2" t="s">
        <v>1</v>
      </c>
    </row>
    <row r="3" spans="1:25" x14ac:dyDescent="0.3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I3" s="2" t="s">
        <v>8</v>
      </c>
      <c r="J3" s="2" t="s">
        <v>9</v>
      </c>
      <c r="K3" s="2" t="s">
        <v>10</v>
      </c>
    </row>
    <row r="4" spans="1:25" x14ac:dyDescent="0.35">
      <c r="A4">
        <v>1</v>
      </c>
      <c r="B4" s="3">
        <v>6</v>
      </c>
      <c r="C4" s="4">
        <v>8</v>
      </c>
      <c r="D4" s="4">
        <v>3</v>
      </c>
      <c r="E4" s="4">
        <v>5</v>
      </c>
      <c r="F4" s="5">
        <v>19</v>
      </c>
      <c r="H4" t="s">
        <v>3</v>
      </c>
      <c r="I4" s="6">
        <v>7</v>
      </c>
      <c r="J4" s="4">
        <f t="array" ref="J4:K8">TRANSPOSE(B30:F31)</f>
        <v>5.6</v>
      </c>
      <c r="K4" s="5">
        <v>2.0816659994661326</v>
      </c>
      <c r="U4" s="10" t="str">
        <f>B3</f>
        <v>Style</v>
      </c>
      <c r="V4" s="10" t="str">
        <f>C3</f>
        <v>Comfort</v>
      </c>
      <c r="W4" s="10" t="str">
        <f>D3</f>
        <v>Stability</v>
      </c>
      <c r="X4" s="10" t="str">
        <f>E3</f>
        <v>Cushion</v>
      </c>
      <c r="Y4" s="10" t="str">
        <f>F3</f>
        <v>Durability</v>
      </c>
    </row>
    <row r="5" spans="1:25" x14ac:dyDescent="0.35">
      <c r="A5">
        <f>A4+1</f>
        <v>2</v>
      </c>
      <c r="B5" s="11">
        <v>6</v>
      </c>
      <c r="C5">
        <v>7</v>
      </c>
      <c r="D5">
        <v>3</v>
      </c>
      <c r="E5">
        <v>4</v>
      </c>
      <c r="F5" s="7">
        <v>9</v>
      </c>
      <c r="H5" t="s">
        <v>4</v>
      </c>
      <c r="I5" s="12">
        <v>8</v>
      </c>
      <c r="J5">
        <v>7.4</v>
      </c>
      <c r="K5" s="7">
        <v>1.707825127659933</v>
      </c>
      <c r="T5" t="s">
        <v>11</v>
      </c>
      <c r="U5" s="3">
        <f t="array" ref="U5:Y7">TRANSPOSE(I4:K8)</f>
        <v>7</v>
      </c>
      <c r="V5" s="4">
        <v>8</v>
      </c>
      <c r="W5" s="4">
        <v>5</v>
      </c>
      <c r="X5" s="4">
        <v>7</v>
      </c>
      <c r="Y5" s="5">
        <v>9</v>
      </c>
    </row>
    <row r="6" spans="1:25" x14ac:dyDescent="0.35">
      <c r="A6">
        <f t="shared" ref="A6:A28" si="0">A5+1</f>
        <v>3</v>
      </c>
      <c r="B6" s="11">
        <v>5</v>
      </c>
      <c r="C6">
        <v>7</v>
      </c>
      <c r="D6">
        <v>1</v>
      </c>
      <c r="E6">
        <v>4</v>
      </c>
      <c r="F6" s="7">
        <v>16</v>
      </c>
      <c r="H6" t="s">
        <v>5</v>
      </c>
      <c r="I6" s="12">
        <v>5</v>
      </c>
      <c r="J6">
        <v>5.08</v>
      </c>
      <c r="K6" s="7">
        <v>2.7221315177632399</v>
      </c>
      <c r="T6" t="s">
        <v>12</v>
      </c>
      <c r="U6" s="11">
        <v>5.6</v>
      </c>
      <c r="V6">
        <v>7.4</v>
      </c>
      <c r="W6">
        <v>5.08</v>
      </c>
      <c r="X6">
        <v>5.04</v>
      </c>
      <c r="Y6" s="7">
        <v>12.88</v>
      </c>
    </row>
    <row r="7" spans="1:25" x14ac:dyDescent="0.35">
      <c r="A7">
        <f t="shared" si="0"/>
        <v>4</v>
      </c>
      <c r="B7" s="11">
        <v>10</v>
      </c>
      <c r="C7">
        <v>9</v>
      </c>
      <c r="D7">
        <v>8</v>
      </c>
      <c r="E7">
        <v>4</v>
      </c>
      <c r="F7" s="7">
        <v>4</v>
      </c>
      <c r="H7" t="s">
        <v>6</v>
      </c>
      <c r="I7" s="12">
        <v>7</v>
      </c>
      <c r="J7">
        <v>5.04</v>
      </c>
      <c r="K7" s="7">
        <v>2.1694853460363976</v>
      </c>
      <c r="T7" t="s">
        <v>13</v>
      </c>
      <c r="U7" s="11">
        <v>2.0816659994661326</v>
      </c>
      <c r="V7">
        <v>1.707825127659933</v>
      </c>
      <c r="W7">
        <v>2.7221315177632399</v>
      </c>
      <c r="X7">
        <v>2.1694853460363976</v>
      </c>
      <c r="Y7" s="7">
        <v>4.5672748986676961</v>
      </c>
    </row>
    <row r="8" spans="1:25" x14ac:dyDescent="0.35">
      <c r="A8">
        <f t="shared" si="0"/>
        <v>5</v>
      </c>
      <c r="B8" s="11">
        <v>7</v>
      </c>
      <c r="C8">
        <v>9</v>
      </c>
      <c r="D8">
        <v>7</v>
      </c>
      <c r="E8">
        <v>6</v>
      </c>
      <c r="F8" s="7">
        <v>9</v>
      </c>
      <c r="H8" t="s">
        <v>7</v>
      </c>
      <c r="I8" s="13">
        <v>9</v>
      </c>
      <c r="J8" s="8">
        <v>12.88</v>
      </c>
      <c r="K8" s="9">
        <v>4.5672748986676961</v>
      </c>
      <c r="T8" t="s">
        <v>14</v>
      </c>
      <c r="U8" s="11">
        <f>I18</f>
        <v>25</v>
      </c>
      <c r="V8">
        <f>U8</f>
        <v>25</v>
      </c>
      <c r="W8">
        <f>V8</f>
        <v>25</v>
      </c>
      <c r="X8">
        <f>W8</f>
        <v>25</v>
      </c>
      <c r="Y8" s="7">
        <f>X8</f>
        <v>25</v>
      </c>
    </row>
    <row r="9" spans="1:25" x14ac:dyDescent="0.35">
      <c r="A9">
        <f t="shared" si="0"/>
        <v>6</v>
      </c>
      <c r="B9" s="11">
        <v>6</v>
      </c>
      <c r="C9">
        <v>6</v>
      </c>
      <c r="D9">
        <v>3</v>
      </c>
      <c r="E9">
        <v>9</v>
      </c>
      <c r="F9" s="7">
        <v>17</v>
      </c>
      <c r="T9" t="s">
        <v>15</v>
      </c>
      <c r="U9" s="11">
        <f>U7/SQRT(U8)</f>
        <v>0.41633319989322654</v>
      </c>
      <c r="V9">
        <f>V7/SQRT(V8)</f>
        <v>0.34156502553198659</v>
      </c>
      <c r="W9">
        <f>W7/SQRT(W8)</f>
        <v>0.54442630355264798</v>
      </c>
      <c r="X9">
        <f>X7/SQRT(X8)</f>
        <v>0.43389706920727955</v>
      </c>
      <c r="Y9" s="7">
        <f>Y7/SQRT(Y8)</f>
        <v>0.91345497973353917</v>
      </c>
    </row>
    <row r="10" spans="1:25" x14ac:dyDescent="0.35">
      <c r="A10">
        <f t="shared" si="0"/>
        <v>7</v>
      </c>
      <c r="B10" s="11">
        <v>5</v>
      </c>
      <c r="C10">
        <v>8</v>
      </c>
      <c r="D10">
        <v>6</v>
      </c>
      <c r="E10">
        <v>7</v>
      </c>
      <c r="F10" s="7">
        <v>6</v>
      </c>
      <c r="H10" t="s">
        <v>16</v>
      </c>
      <c r="N10" t="s">
        <v>17</v>
      </c>
      <c r="T10" t="s">
        <v>18</v>
      </c>
      <c r="U10" s="11">
        <f>U8-1</f>
        <v>24</v>
      </c>
      <c r="V10">
        <f>V8-1</f>
        <v>24</v>
      </c>
      <c r="W10">
        <f>W8-1</f>
        <v>24</v>
      </c>
      <c r="X10">
        <f>X8-1</f>
        <v>24</v>
      </c>
      <c r="Y10" s="7">
        <f>Y8-1</f>
        <v>24</v>
      </c>
    </row>
    <row r="11" spans="1:25" x14ac:dyDescent="0.35">
      <c r="A11">
        <f t="shared" si="0"/>
        <v>8</v>
      </c>
      <c r="B11" s="11">
        <v>3</v>
      </c>
      <c r="C11">
        <v>7</v>
      </c>
      <c r="D11">
        <v>3</v>
      </c>
      <c r="E11">
        <v>6</v>
      </c>
      <c r="F11" s="7">
        <v>16</v>
      </c>
      <c r="T11" t="s">
        <v>19</v>
      </c>
      <c r="U11" s="11">
        <v>0.05</v>
      </c>
      <c r="V11">
        <f>U11</f>
        <v>0.05</v>
      </c>
      <c r="W11">
        <f>V11</f>
        <v>0.05</v>
      </c>
      <c r="X11">
        <f>W11</f>
        <v>0.05</v>
      </c>
      <c r="Y11" s="7">
        <f>X11</f>
        <v>0.05</v>
      </c>
    </row>
    <row r="12" spans="1:25" x14ac:dyDescent="0.35">
      <c r="A12">
        <f t="shared" si="0"/>
        <v>9</v>
      </c>
      <c r="B12" s="11">
        <v>8</v>
      </c>
      <c r="C12">
        <v>8</v>
      </c>
      <c r="D12">
        <v>9</v>
      </c>
      <c r="E12">
        <v>3</v>
      </c>
      <c r="F12" s="7">
        <v>8</v>
      </c>
      <c r="H12" s="3" t="e">
        <f t="array" aca="1" ref="H12:L16" ca="1">COV(B4:F28)</f>
        <v>#NAME?</v>
      </c>
      <c r="I12" s="4" t="e">
        <f ca="1"/>
        <v>#NAME?</v>
      </c>
      <c r="J12" s="4" t="e">
        <f ca="1"/>
        <v>#NAME?</v>
      </c>
      <c r="K12" s="4" t="e">
        <f ca="1"/>
        <v>#NAME?</v>
      </c>
      <c r="L12" s="5" t="e">
        <f ca="1"/>
        <v>#NAME?</v>
      </c>
      <c r="N12" s="3" t="e">
        <f t="array" aca="1" ref="N12:R16" ca="1">CORR(B4:F28)</f>
        <v>#NAME?</v>
      </c>
      <c r="O12" s="4" t="e">
        <f ca="1"/>
        <v>#NAME?</v>
      </c>
      <c r="P12" s="4" t="e">
        <f ca="1"/>
        <v>#NAME?</v>
      </c>
      <c r="Q12" s="4" t="e">
        <f ca="1"/>
        <v>#NAME?</v>
      </c>
      <c r="R12" s="5" t="e">
        <f ca="1"/>
        <v>#NAME?</v>
      </c>
      <c r="T12" t="s">
        <v>20</v>
      </c>
      <c r="U12" s="11">
        <f>(U6-U5)/(U7/SQRT(U8))</f>
        <v>-3.3626912299068308</v>
      </c>
      <c r="V12">
        <f>(V6-V5)/(V7/SQRT(V8))</f>
        <v>-1.7566201313073588</v>
      </c>
      <c r="W12">
        <f>(W6-W5)/(W7/SQRT(W8))</f>
        <v>0.14694367167412914</v>
      </c>
      <c r="X12">
        <f>(X6-X5)/(X7/SQRT(X8))</f>
        <v>-4.5172003663930642</v>
      </c>
      <c r="Y12" s="7">
        <f>(Y6-Y5)/(Y7/SQRT(Y8))</f>
        <v>4.2476094455490543</v>
      </c>
    </row>
    <row r="13" spans="1:25" x14ac:dyDescent="0.35">
      <c r="A13">
        <f t="shared" si="0"/>
        <v>10</v>
      </c>
      <c r="B13" s="11">
        <v>8</v>
      </c>
      <c r="C13">
        <v>6</v>
      </c>
      <c r="D13">
        <v>5</v>
      </c>
      <c r="E13">
        <v>3</v>
      </c>
      <c r="F13" s="7">
        <v>13</v>
      </c>
      <c r="H13" s="11" t="e">
        <f ca="1"/>
        <v>#NAME?</v>
      </c>
      <c r="I13" t="e">
        <f ca="1"/>
        <v>#NAME?</v>
      </c>
      <c r="J13" t="e">
        <f ca="1"/>
        <v>#NAME?</v>
      </c>
      <c r="K13" t="e">
        <f ca="1"/>
        <v>#NAME?</v>
      </c>
      <c r="L13" s="7" t="e">
        <f ca="1"/>
        <v>#NAME?</v>
      </c>
      <c r="N13" s="11" t="e">
        <f ca="1"/>
        <v>#NAME?</v>
      </c>
      <c r="O13" t="e">
        <f ca="1"/>
        <v>#NAME?</v>
      </c>
      <c r="P13" t="e">
        <f ca="1"/>
        <v>#NAME?</v>
      </c>
      <c r="Q13" t="e">
        <f ca="1"/>
        <v>#NAME?</v>
      </c>
      <c r="R13" s="7" t="e">
        <f ca="1"/>
        <v>#NAME?</v>
      </c>
      <c r="T13" t="s">
        <v>21</v>
      </c>
      <c r="U13" s="14">
        <f>TINV(U11,U10)</f>
        <v>2.0638985616280254</v>
      </c>
      <c r="V13" s="8">
        <f>TINV(V11,V10)</f>
        <v>2.0638985616280254</v>
      </c>
      <c r="W13" s="8">
        <f>TINV(W11,W10)</f>
        <v>2.0638985616280254</v>
      </c>
      <c r="X13" s="8">
        <f>TINV(X11,X10)</f>
        <v>2.0638985616280254</v>
      </c>
      <c r="Y13" s="9">
        <f>TINV(Y11,Y10)</f>
        <v>2.0638985616280254</v>
      </c>
    </row>
    <row r="14" spans="1:25" x14ac:dyDescent="0.35">
      <c r="A14">
        <f t="shared" si="0"/>
        <v>11</v>
      </c>
      <c r="B14" s="11">
        <v>5</v>
      </c>
      <c r="C14">
        <v>9</v>
      </c>
      <c r="D14">
        <v>5</v>
      </c>
      <c r="E14">
        <v>4</v>
      </c>
      <c r="F14" s="7">
        <v>17</v>
      </c>
      <c r="H14" s="11" t="e">
        <f ca="1"/>
        <v>#NAME?</v>
      </c>
      <c r="I14" t="e">
        <f ca="1"/>
        <v>#NAME?</v>
      </c>
      <c r="J14" t="e">
        <f ca="1"/>
        <v>#NAME?</v>
      </c>
      <c r="K14" t="e">
        <f ca="1"/>
        <v>#NAME?</v>
      </c>
      <c r="L14" s="7" t="e">
        <f ca="1"/>
        <v>#NAME?</v>
      </c>
      <c r="N14" s="11" t="e">
        <f ca="1"/>
        <v>#NAME?</v>
      </c>
      <c r="O14" t="e">
        <f ca="1"/>
        <v>#NAME?</v>
      </c>
      <c r="P14" t="e">
        <f ca="1"/>
        <v>#NAME?</v>
      </c>
      <c r="Q14" t="e">
        <f ca="1"/>
        <v>#NAME?</v>
      </c>
      <c r="R14" s="7" t="e">
        <f ca="1"/>
        <v>#NAME?</v>
      </c>
      <c r="T14" t="s">
        <v>22</v>
      </c>
      <c r="U14" s="3">
        <f>TDIST(ABS(U12),U10,2)</f>
        <v>2.583709346226887E-3</v>
      </c>
      <c r="V14" s="4">
        <f>TDIST(ABS(V12),V10,2)</f>
        <v>9.1736307558872063E-2</v>
      </c>
      <c r="W14" s="4">
        <f>TDIST(ABS(W12),W10,2)</f>
        <v>0.8844038961329298</v>
      </c>
      <c r="X14" s="4">
        <f>TDIST(ABS(X12),X10,2)</f>
        <v>1.4176692306704889E-4</v>
      </c>
      <c r="Y14" s="5">
        <f>TDIST(ABS(Y12),Y10,2)</f>
        <v>2.8136047814428781E-4</v>
      </c>
    </row>
    <row r="15" spans="1:25" x14ac:dyDescent="0.35">
      <c r="A15">
        <f t="shared" si="0"/>
        <v>12</v>
      </c>
      <c r="B15" s="11">
        <v>8</v>
      </c>
      <c r="C15">
        <v>8</v>
      </c>
      <c r="D15">
        <v>2</v>
      </c>
      <c r="E15">
        <v>3</v>
      </c>
      <c r="F15" s="7">
        <v>5</v>
      </c>
      <c r="H15" s="11" t="e">
        <f ca="1"/>
        <v>#NAME?</v>
      </c>
      <c r="I15" t="e">
        <f ca="1"/>
        <v>#NAME?</v>
      </c>
      <c r="J15" t="e">
        <f ca="1"/>
        <v>#NAME?</v>
      </c>
      <c r="K15" t="e">
        <f ca="1"/>
        <v>#NAME?</v>
      </c>
      <c r="L15" s="7" t="e">
        <f ca="1"/>
        <v>#NAME?</v>
      </c>
      <c r="N15" s="11" t="e">
        <f ca="1"/>
        <v>#NAME?</v>
      </c>
      <c r="O15" t="e">
        <f ca="1"/>
        <v>#NAME?</v>
      </c>
      <c r="P15" t="e">
        <f ca="1"/>
        <v>#NAME?</v>
      </c>
      <c r="Q15" t="e">
        <f ca="1"/>
        <v>#NAME?</v>
      </c>
      <c r="R15" s="7" t="e">
        <f ca="1"/>
        <v>#NAME?</v>
      </c>
      <c r="T15" t="s">
        <v>23</v>
      </c>
      <c r="U15" s="15" t="str">
        <f>IF(U14&lt;=U11,"yes","no")</f>
        <v>yes</v>
      </c>
      <c r="V15" s="16" t="str">
        <f>IF(V14&lt;=V11,"yes","no")</f>
        <v>no</v>
      </c>
      <c r="W15" s="16" t="str">
        <f>IF(W14&lt;=W11,"yes","no")</f>
        <v>no</v>
      </c>
      <c r="X15" s="16" t="str">
        <f>IF(X14&lt;=X11,"yes","no")</f>
        <v>yes</v>
      </c>
      <c r="Y15" s="17" t="str">
        <f>IF(Y14&lt;=Y11,"yes","no")</f>
        <v>yes</v>
      </c>
    </row>
    <row r="16" spans="1:25" x14ac:dyDescent="0.35">
      <c r="A16">
        <f t="shared" si="0"/>
        <v>13</v>
      </c>
      <c r="B16" s="11">
        <v>5</v>
      </c>
      <c r="C16">
        <v>8</v>
      </c>
      <c r="D16">
        <v>7</v>
      </c>
      <c r="E16">
        <v>5</v>
      </c>
      <c r="F16" s="7">
        <v>8</v>
      </c>
      <c r="H16" s="14" t="e">
        <f ca="1"/>
        <v>#NAME?</v>
      </c>
      <c r="I16" s="8" t="e">
        <f ca="1"/>
        <v>#NAME?</v>
      </c>
      <c r="J16" s="8" t="e">
        <f ca="1"/>
        <v>#NAME?</v>
      </c>
      <c r="K16" s="8" t="e">
        <f ca="1"/>
        <v>#NAME?</v>
      </c>
      <c r="L16" s="9" t="e">
        <f ca="1"/>
        <v>#NAME?</v>
      </c>
      <c r="N16" s="14" t="e">
        <f ca="1"/>
        <v>#NAME?</v>
      </c>
      <c r="O16" s="8" t="e">
        <f ca="1"/>
        <v>#NAME?</v>
      </c>
      <c r="P16" s="8" t="e">
        <f ca="1"/>
        <v>#NAME?</v>
      </c>
      <c r="Q16" s="8" t="e">
        <f ca="1"/>
        <v>#NAME?</v>
      </c>
      <c r="R16" s="9" t="e">
        <f ca="1"/>
        <v>#NAME?</v>
      </c>
      <c r="T16" t="s">
        <v>24</v>
      </c>
      <c r="U16" s="3">
        <f>U6-U13*U9</f>
        <v>4.7407305075823762</v>
      </c>
      <c r="V16" s="4">
        <f>V6-V13*V9</f>
        <v>6.6950444351020932</v>
      </c>
      <c r="W16" s="4">
        <f>W6-W13*W9</f>
        <v>3.9563593351852271</v>
      </c>
      <c r="X16" s="4">
        <f>X6-X13*X9</f>
        <v>4.1444804629684802</v>
      </c>
      <c r="Y16" s="5">
        <f>Y6-Y13*Y9</f>
        <v>10.994721581215993</v>
      </c>
    </row>
    <row r="17" spans="1:25" x14ac:dyDescent="0.35">
      <c r="A17">
        <f t="shared" si="0"/>
        <v>14</v>
      </c>
      <c r="B17" s="11">
        <v>4</v>
      </c>
      <c r="C17">
        <v>9</v>
      </c>
      <c r="D17">
        <v>10</v>
      </c>
      <c r="E17">
        <v>2</v>
      </c>
      <c r="F17" s="7">
        <v>16</v>
      </c>
      <c r="T17" t="s">
        <v>25</v>
      </c>
      <c r="U17" s="14">
        <f>U6+U13*U9</f>
        <v>6.459269492417623</v>
      </c>
      <c r="V17" s="8">
        <f>V6+V13*V9</f>
        <v>8.1049555648979066</v>
      </c>
      <c r="W17" s="8">
        <f>W6+W13*W9</f>
        <v>6.2036406648147731</v>
      </c>
      <c r="X17" s="8">
        <f>X6+X13*X9</f>
        <v>5.9355195370315199</v>
      </c>
      <c r="Y17" s="9">
        <f>Y6+Y13*Y9</f>
        <v>14.765278418784009</v>
      </c>
    </row>
    <row r="18" spans="1:25" x14ac:dyDescent="0.35">
      <c r="A18">
        <f t="shared" si="0"/>
        <v>15</v>
      </c>
      <c r="B18" s="11">
        <v>2</v>
      </c>
      <c r="C18">
        <v>9</v>
      </c>
      <c r="D18">
        <v>4</v>
      </c>
      <c r="E18">
        <v>10</v>
      </c>
      <c r="F18" s="7">
        <v>14</v>
      </c>
      <c r="H18" t="s">
        <v>14</v>
      </c>
      <c r="I18" s="18">
        <f>COUNT(B4:B28)</f>
        <v>25</v>
      </c>
      <c r="K18" s="19" t="e" cm="1">
        <f t="array" aca="1" ref="K18" ca="1">FTEXT(I18)</f>
        <v>#NAME?</v>
      </c>
    </row>
    <row r="19" spans="1:25" x14ac:dyDescent="0.35">
      <c r="A19">
        <f t="shared" si="0"/>
        <v>16</v>
      </c>
      <c r="B19" s="11">
        <v>7</v>
      </c>
      <c r="C19">
        <v>5</v>
      </c>
      <c r="D19">
        <v>8</v>
      </c>
      <c r="E19">
        <v>6</v>
      </c>
      <c r="F19" s="7">
        <v>15</v>
      </c>
      <c r="H19" t="s">
        <v>26</v>
      </c>
      <c r="I19" s="20">
        <f>COUNT(B4:F4)</f>
        <v>5</v>
      </c>
      <c r="K19" s="19" t="e" cm="1">
        <f t="array" aca="1" ref="K19" ca="1">FTEXT(I19)</f>
        <v>#NAME?</v>
      </c>
      <c r="T19" t="s">
        <v>27</v>
      </c>
    </row>
    <row r="20" spans="1:25" ht="16.5" x14ac:dyDescent="0.35">
      <c r="A20">
        <f t="shared" si="0"/>
        <v>17</v>
      </c>
      <c r="B20" s="11">
        <v>4</v>
      </c>
      <c r="C20">
        <v>8</v>
      </c>
      <c r="D20">
        <v>8</v>
      </c>
      <c r="E20">
        <v>2</v>
      </c>
      <c r="F20" s="7">
        <v>16</v>
      </c>
      <c r="H20" t="s">
        <v>28</v>
      </c>
      <c r="I20" s="20" t="e">
        <f t="array" aca="1" ref="I20" ca="1">I18*MMULT(MMULT(TRANSPOSE(J4:J8-I4:I8),MINVERSE(H12:L16)),J4:J8-I4:I8)</f>
        <v>#NAME?</v>
      </c>
      <c r="K20" s="19" t="e" cm="1">
        <f t="array" aca="1" ref="K20" ca="1">FTEXT(I20)</f>
        <v>#NAME?</v>
      </c>
    </row>
    <row r="21" spans="1:25" x14ac:dyDescent="0.35">
      <c r="A21">
        <f t="shared" si="0"/>
        <v>18</v>
      </c>
      <c r="B21" s="11">
        <v>5</v>
      </c>
      <c r="C21">
        <v>10</v>
      </c>
      <c r="D21">
        <v>9</v>
      </c>
      <c r="E21">
        <v>3</v>
      </c>
      <c r="F21" s="7">
        <v>11</v>
      </c>
      <c r="H21" t="s">
        <v>29</v>
      </c>
      <c r="I21" s="20" t="e">
        <f ca="1">I20*(I18-I19)/(I19*(I18-1))</f>
        <v>#NAME?</v>
      </c>
      <c r="K21" s="19" t="e" cm="1">
        <f t="array" aca="1" ref="K21" ca="1">FTEXT(I21)</f>
        <v>#NAME?</v>
      </c>
      <c r="U21" s="10" t="str">
        <f>U4</f>
        <v>Style</v>
      </c>
      <c r="V21" s="10" t="str">
        <f>V4</f>
        <v>Comfort</v>
      </c>
      <c r="W21" s="10" t="str">
        <f>W4</f>
        <v>Stability</v>
      </c>
      <c r="X21" s="10" t="str">
        <f>X4</f>
        <v>Cushion</v>
      </c>
      <c r="Y21" s="10" t="str">
        <f>Y4</f>
        <v>Durability</v>
      </c>
    </row>
    <row r="22" spans="1:25" x14ac:dyDescent="0.35">
      <c r="A22">
        <f t="shared" si="0"/>
        <v>19</v>
      </c>
      <c r="B22" s="11">
        <v>7</v>
      </c>
      <c r="C22">
        <v>7</v>
      </c>
      <c r="D22">
        <v>3</v>
      </c>
      <c r="E22">
        <v>7</v>
      </c>
      <c r="F22" s="7">
        <v>12</v>
      </c>
      <c r="H22" t="s">
        <v>30</v>
      </c>
      <c r="I22" s="20">
        <f>I19</f>
        <v>5</v>
      </c>
      <c r="K22" s="19" t="e" cm="1">
        <f t="array" aca="1" ref="K22" ca="1">FTEXT(I22)</f>
        <v>#NAME?</v>
      </c>
      <c r="T22" t="s">
        <v>12</v>
      </c>
      <c r="U22" s="3">
        <f>U6</f>
        <v>5.6</v>
      </c>
      <c r="V22" s="4">
        <f>V6</f>
        <v>7.4</v>
      </c>
      <c r="W22" s="4">
        <f>W6</f>
        <v>5.08</v>
      </c>
      <c r="X22" s="4">
        <f>X6</f>
        <v>5.04</v>
      </c>
      <c r="Y22" s="5">
        <f>Y6</f>
        <v>12.88</v>
      </c>
    </row>
    <row r="23" spans="1:25" x14ac:dyDescent="0.35">
      <c r="A23">
        <f t="shared" si="0"/>
        <v>20</v>
      </c>
      <c r="B23" s="11">
        <v>1</v>
      </c>
      <c r="C23">
        <v>5</v>
      </c>
      <c r="D23">
        <v>2</v>
      </c>
      <c r="E23">
        <v>7</v>
      </c>
      <c r="F23" s="7">
        <v>17</v>
      </c>
      <c r="H23" t="s">
        <v>31</v>
      </c>
      <c r="I23" s="20">
        <f>I18-I19</f>
        <v>20</v>
      </c>
      <c r="K23" s="19" t="e" cm="1">
        <f t="array" aca="1" ref="K23" ca="1">FTEXT(I23)</f>
        <v>#NAME?</v>
      </c>
      <c r="T23" t="s">
        <v>14</v>
      </c>
      <c r="U23" s="11">
        <f>I18</f>
        <v>25</v>
      </c>
      <c r="V23">
        <f>U23</f>
        <v>25</v>
      </c>
      <c r="W23">
        <f>V23</f>
        <v>25</v>
      </c>
      <c r="X23">
        <f>W23</f>
        <v>25</v>
      </c>
      <c r="Y23" s="7">
        <f>X23</f>
        <v>25</v>
      </c>
    </row>
    <row r="24" spans="1:25" x14ac:dyDescent="0.35">
      <c r="A24">
        <f t="shared" si="0"/>
        <v>21</v>
      </c>
      <c r="B24" s="11">
        <v>5</v>
      </c>
      <c r="C24">
        <v>6</v>
      </c>
      <c r="D24">
        <v>7</v>
      </c>
      <c r="E24">
        <v>7</v>
      </c>
      <c r="F24" s="7">
        <v>20</v>
      </c>
      <c r="H24" t="s">
        <v>19</v>
      </c>
      <c r="I24" s="20">
        <v>0.05</v>
      </c>
      <c r="K24" s="19"/>
      <c r="T24" t="s">
        <v>26</v>
      </c>
      <c r="U24" s="11">
        <f>I19</f>
        <v>5</v>
      </c>
      <c r="V24">
        <f t="shared" ref="V24:Y27" si="1">U24</f>
        <v>5</v>
      </c>
      <c r="W24">
        <f t="shared" si="1"/>
        <v>5</v>
      </c>
      <c r="X24">
        <f t="shared" si="1"/>
        <v>5</v>
      </c>
      <c r="Y24" s="7">
        <f t="shared" si="1"/>
        <v>5</v>
      </c>
    </row>
    <row r="25" spans="1:25" x14ac:dyDescent="0.35">
      <c r="A25">
        <f t="shared" si="0"/>
        <v>22</v>
      </c>
      <c r="B25" s="11">
        <v>4</v>
      </c>
      <c r="C25">
        <v>3</v>
      </c>
      <c r="D25">
        <v>1</v>
      </c>
      <c r="E25">
        <v>2</v>
      </c>
      <c r="F25" s="7">
        <v>15</v>
      </c>
      <c r="H25" t="s">
        <v>32</v>
      </c>
      <c r="I25" s="20">
        <f>_xlfn.F.INV.RT(I24,I22,I23)</f>
        <v>2.7108898372096917</v>
      </c>
      <c r="K25" s="19" t="e" cm="1">
        <f t="array" aca="1" ref="K25" ca="1">FTEXT(I25)</f>
        <v>#NAME?</v>
      </c>
      <c r="T25" t="s">
        <v>30</v>
      </c>
      <c r="U25" s="11">
        <f>I22</f>
        <v>5</v>
      </c>
      <c r="V25">
        <f t="shared" si="1"/>
        <v>5</v>
      </c>
      <c r="W25">
        <f t="shared" si="1"/>
        <v>5</v>
      </c>
      <c r="X25">
        <f t="shared" si="1"/>
        <v>5</v>
      </c>
      <c r="Y25" s="7">
        <f t="shared" si="1"/>
        <v>5</v>
      </c>
    </row>
    <row r="26" spans="1:25" x14ac:dyDescent="0.35">
      <c r="A26">
        <f t="shared" si="0"/>
        <v>23</v>
      </c>
      <c r="B26" s="11">
        <v>7</v>
      </c>
      <c r="C26">
        <v>9</v>
      </c>
      <c r="D26">
        <v>6</v>
      </c>
      <c r="E26">
        <v>6</v>
      </c>
      <c r="F26" s="7">
        <v>9</v>
      </c>
      <c r="H26" t="s">
        <v>33</v>
      </c>
      <c r="I26" s="20" t="e">
        <f ca="1">_xlfn.F.DIST.RT(I21,I22,I23)</f>
        <v>#NAME?</v>
      </c>
      <c r="K26" s="19" t="e" cm="1">
        <f t="array" aca="1" ref="K26" ca="1">FTEXT(I26)</f>
        <v>#NAME?</v>
      </c>
      <c r="T26" t="s">
        <v>31</v>
      </c>
      <c r="U26" s="11">
        <f>I23</f>
        <v>20</v>
      </c>
      <c r="V26">
        <f t="shared" si="1"/>
        <v>20</v>
      </c>
      <c r="W26">
        <f t="shared" si="1"/>
        <v>20</v>
      </c>
      <c r="X26">
        <f t="shared" si="1"/>
        <v>20</v>
      </c>
      <c r="Y26" s="7">
        <f t="shared" si="1"/>
        <v>20</v>
      </c>
    </row>
    <row r="27" spans="1:25" x14ac:dyDescent="0.35">
      <c r="A27">
        <f t="shared" si="0"/>
        <v>24</v>
      </c>
      <c r="B27" s="11">
        <v>4</v>
      </c>
      <c r="C27">
        <v>5</v>
      </c>
      <c r="D27">
        <v>2</v>
      </c>
      <c r="E27">
        <v>4</v>
      </c>
      <c r="F27" s="7">
        <v>12</v>
      </c>
      <c r="H27" t="s">
        <v>23</v>
      </c>
      <c r="I27" s="21" t="e">
        <f ca="1">IF(I26&lt;= I24,"yes","no")</f>
        <v>#NAME?</v>
      </c>
      <c r="K27" s="19" t="e" cm="1">
        <f t="array" aca="1" ref="K27" ca="1">FTEXT(I27)</f>
        <v>#NAME?</v>
      </c>
      <c r="T27" t="s">
        <v>19</v>
      </c>
      <c r="U27" s="11">
        <f>I24</f>
        <v>0.05</v>
      </c>
      <c r="V27">
        <f t="shared" si="1"/>
        <v>0.05</v>
      </c>
      <c r="W27">
        <f t="shared" si="1"/>
        <v>0.05</v>
      </c>
      <c r="X27">
        <f t="shared" si="1"/>
        <v>0.05</v>
      </c>
      <c r="Y27" s="7">
        <f t="shared" si="1"/>
        <v>0.05</v>
      </c>
    </row>
    <row r="28" spans="1:25" x14ac:dyDescent="0.35">
      <c r="A28">
        <f t="shared" si="0"/>
        <v>25</v>
      </c>
      <c r="B28" s="14">
        <v>8</v>
      </c>
      <c r="C28" s="8">
        <v>9</v>
      </c>
      <c r="D28" s="8">
        <v>5</v>
      </c>
      <c r="E28" s="8">
        <v>7</v>
      </c>
      <c r="F28" s="9">
        <v>18</v>
      </c>
      <c r="T28" t="s">
        <v>32</v>
      </c>
      <c r="U28" s="11">
        <f>I25</f>
        <v>2.7108898372096917</v>
      </c>
      <c r="V28">
        <f>U28</f>
        <v>2.7108898372096917</v>
      </c>
      <c r="W28">
        <f>V28</f>
        <v>2.7108898372096917</v>
      </c>
      <c r="X28">
        <f>W28</f>
        <v>2.7108898372096917</v>
      </c>
      <c r="Y28" s="7">
        <f>X28</f>
        <v>2.7108898372096917</v>
      </c>
    </row>
    <row r="29" spans="1:25" x14ac:dyDescent="0.35">
      <c r="H29" t="s">
        <v>34</v>
      </c>
      <c r="O29" t="s">
        <v>35</v>
      </c>
      <c r="T29" t="s">
        <v>21</v>
      </c>
      <c r="U29" s="11">
        <f>SQRT(U24*(U23-1)/(U23-U24)*U28)</f>
        <v>4.0330309970614096</v>
      </c>
      <c r="V29">
        <f>SQRT(V24*(V23-1)/(V23-V24)*V28)</f>
        <v>4.0330309970614096</v>
      </c>
      <c r="W29">
        <f>SQRT(W24*(W23-1)/(W23-W24)*W28)</f>
        <v>4.0330309970614096</v>
      </c>
      <c r="X29">
        <f>SQRT(X24*(X23-1)/(X23-X24)*X28)</f>
        <v>4.0330309970614096</v>
      </c>
      <c r="Y29" s="7">
        <f>SQRT(Y24*(Y23-1)/(Y23-Y24)*Y28)</f>
        <v>4.0330309970614096</v>
      </c>
    </row>
    <row r="30" spans="1:25" x14ac:dyDescent="0.35">
      <c r="A30" t="s">
        <v>12</v>
      </c>
      <c r="B30" s="3">
        <f>AVERAGE(B4:B28)</f>
        <v>5.6</v>
      </c>
      <c r="C30" s="4">
        <f>AVERAGE(C4:C28)</f>
        <v>7.4</v>
      </c>
      <c r="D30" s="4">
        <f>AVERAGE(D4:D28)</f>
        <v>5.08</v>
      </c>
      <c r="E30" s="4">
        <f>AVERAGE(E4:E28)</f>
        <v>5.04</v>
      </c>
      <c r="F30" s="5">
        <f>AVERAGE(F4:F28)</f>
        <v>12.88</v>
      </c>
      <c r="T30" t="s">
        <v>15</v>
      </c>
      <c r="U30" s="14">
        <f>U9</f>
        <v>0.41633319989322654</v>
      </c>
      <c r="V30" s="8">
        <f>V9</f>
        <v>0.34156502553198659</v>
      </c>
      <c r="W30" s="8">
        <f>W9</f>
        <v>0.54442630355264798</v>
      </c>
      <c r="X30" s="8">
        <f>X9</f>
        <v>0.43389706920727955</v>
      </c>
      <c r="Y30" s="9">
        <f>Y9</f>
        <v>0.91345497973353917</v>
      </c>
    </row>
    <row r="31" spans="1:25" ht="16.5" x14ac:dyDescent="0.35">
      <c r="A31" t="s">
        <v>36</v>
      </c>
      <c r="B31" s="14">
        <f>STDEV(B4:B28)</f>
        <v>2.0816659994661326</v>
      </c>
      <c r="C31" s="8">
        <f>STDEV(C4:C28)</f>
        <v>1.707825127659933</v>
      </c>
      <c r="D31" s="8">
        <f>STDEV(D4:D28)</f>
        <v>2.7221315177632399</v>
      </c>
      <c r="E31" s="8">
        <f>STDEV(E4:E28)</f>
        <v>2.1694853460363976</v>
      </c>
      <c r="F31" s="9">
        <f>STDEV(F4:F28)</f>
        <v>4.5672748986676961</v>
      </c>
      <c r="H31" t="s">
        <v>28</v>
      </c>
      <c r="I31" s="18" t="e">
        <f ca="1">HotellingT2(B4:F28,I4:I8,0)</f>
        <v>#NAME?</v>
      </c>
      <c r="K31" s="19" t="s">
        <v>37</v>
      </c>
      <c r="O31" t="s">
        <v>38</v>
      </c>
      <c r="P31" s="22" t="e">
        <f ca="1">I20/I18</f>
        <v>#NAME?</v>
      </c>
      <c r="T31" t="s">
        <v>24</v>
      </c>
      <c r="U31" s="3">
        <f>U22-U29*U30</f>
        <v>3.9209152997248529</v>
      </c>
      <c r="V31" s="4">
        <f>V22-V29*V30</f>
        <v>6.022457664517427</v>
      </c>
      <c r="W31" s="4">
        <f>W22-W29*W30</f>
        <v>2.8843118421566065</v>
      </c>
      <c r="X31" s="4">
        <f>X22-X29*X30</f>
        <v>3.290079670352942</v>
      </c>
      <c r="Y31" s="5">
        <f>Y22-Y29*Y30</f>
        <v>9.1960077523145358</v>
      </c>
    </row>
    <row r="32" spans="1:25" x14ac:dyDescent="0.35">
      <c r="H32" t="s">
        <v>29</v>
      </c>
      <c r="I32" s="20" t="e">
        <f ca="1">HotellingF(B4:F28,I4:I8,0)</f>
        <v>#NAME?</v>
      </c>
      <c r="K32" s="19" t="s">
        <v>39</v>
      </c>
      <c r="T32" t="s">
        <v>25</v>
      </c>
      <c r="U32" s="14">
        <f>U22+U29*U30</f>
        <v>7.2790847002751464</v>
      </c>
      <c r="V32" s="8">
        <f>V22+V29*V30</f>
        <v>8.7775423354825737</v>
      </c>
      <c r="W32" s="8">
        <f>W22+W29*W30</f>
        <v>7.2756881578433941</v>
      </c>
      <c r="X32" s="8">
        <f>X22+X29*X30</f>
        <v>6.7899203296470585</v>
      </c>
      <c r="Y32" s="9">
        <f>Y22+Y29*Y30</f>
        <v>16.563992247685466</v>
      </c>
    </row>
    <row r="33" spans="8:25" x14ac:dyDescent="0.35">
      <c r="H33" t="s">
        <v>30</v>
      </c>
      <c r="I33" s="20" t="e">
        <f ca="1">Hotellingdf1(B4:F28,I4:I8,0)</f>
        <v>#NAME?</v>
      </c>
      <c r="K33" s="19" t="s">
        <v>40</v>
      </c>
      <c r="O33" t="s">
        <v>41</v>
      </c>
      <c r="P33" s="22" t="e">
        <f ca="1">I22*I21/(I22*I21+I23)</f>
        <v>#NAME?</v>
      </c>
    </row>
    <row r="34" spans="8:25" x14ac:dyDescent="0.35">
      <c r="H34" t="s">
        <v>31</v>
      </c>
      <c r="I34" s="20" t="e">
        <f ca="1">Hotellingdf2(B4:F28,I4:I8,0)</f>
        <v>#NAME?</v>
      </c>
      <c r="K34" s="19" t="s">
        <v>42</v>
      </c>
      <c r="T34" t="s">
        <v>43</v>
      </c>
    </row>
    <row r="35" spans="8:25" x14ac:dyDescent="0.35">
      <c r="H35" t="s">
        <v>22</v>
      </c>
      <c r="I35" s="23" t="e">
        <f ca="1">T2TEST(B4:F28,I4:I8,0)</f>
        <v>#NAME?</v>
      </c>
      <c r="K35" s="19" t="s">
        <v>44</v>
      </c>
    </row>
    <row r="36" spans="8:25" x14ac:dyDescent="0.35">
      <c r="U36" s="10" t="str">
        <f>U21</f>
        <v>Style</v>
      </c>
      <c r="V36" s="10" t="str">
        <f>V21</f>
        <v>Comfort</v>
      </c>
      <c r="W36" s="10" t="str">
        <f>W21</f>
        <v>Stability</v>
      </c>
      <c r="X36" s="10" t="str">
        <f>X21</f>
        <v>Cushion</v>
      </c>
      <c r="Y36" s="10" t="str">
        <f>Y21</f>
        <v>Durability</v>
      </c>
    </row>
    <row r="37" spans="8:25" x14ac:dyDescent="0.35">
      <c r="H37" t="e">
        <f t="array" aca="1" ref="H37:I41" ca="1">Hotelling(B4:F28,I4:I8,0,TRUE)</f>
        <v>#NAME?</v>
      </c>
      <c r="I37" s="18" t="e">
        <f ca="1"/>
        <v>#NAME?</v>
      </c>
      <c r="K37" t="e" cm="1">
        <f t="array" aca="1" ref="K37" ca="1">FTEXT(H37)</f>
        <v>#NAME?</v>
      </c>
      <c r="T37" t="s">
        <v>11</v>
      </c>
      <c r="U37" s="24">
        <f>U5</f>
        <v>7</v>
      </c>
      <c r="V37" s="25">
        <f>V5</f>
        <v>8</v>
      </c>
      <c r="W37" s="25">
        <f>W5</f>
        <v>5</v>
      </c>
      <c r="X37" s="25">
        <f>X5</f>
        <v>7</v>
      </c>
      <c r="Y37" s="26">
        <f>Y5</f>
        <v>9</v>
      </c>
    </row>
    <row r="38" spans="8:25" x14ac:dyDescent="0.35">
      <c r="H38" t="e">
        <f ca="1"/>
        <v>#NAME?</v>
      </c>
      <c r="I38" s="20" t="e">
        <f ca="1"/>
        <v>#NAME?</v>
      </c>
      <c r="T38" t="s">
        <v>24</v>
      </c>
      <c r="U38" s="3">
        <f>U31</f>
        <v>3.9209152997248529</v>
      </c>
      <c r="V38" s="4">
        <f t="shared" ref="V38:Y39" si="2">V31</f>
        <v>6.022457664517427</v>
      </c>
      <c r="W38" s="4">
        <f t="shared" si="2"/>
        <v>2.8843118421566065</v>
      </c>
      <c r="X38" s="4">
        <f t="shared" si="2"/>
        <v>3.290079670352942</v>
      </c>
      <c r="Y38" s="5">
        <f t="shared" si="2"/>
        <v>9.1960077523145358</v>
      </c>
    </row>
    <row r="39" spans="8:25" x14ac:dyDescent="0.35">
      <c r="H39" t="e">
        <f ca="1"/>
        <v>#NAME?</v>
      </c>
      <c r="I39" s="20" t="e">
        <f ca="1"/>
        <v>#NAME?</v>
      </c>
      <c r="T39" t="s">
        <v>25</v>
      </c>
      <c r="U39" s="14">
        <f>U32</f>
        <v>7.2790847002751464</v>
      </c>
      <c r="V39" s="8">
        <f t="shared" si="2"/>
        <v>8.7775423354825737</v>
      </c>
      <c r="W39" s="8">
        <f t="shared" si="2"/>
        <v>7.2756881578433941</v>
      </c>
      <c r="X39" s="8">
        <f t="shared" si="2"/>
        <v>6.7899203296470585</v>
      </c>
      <c r="Y39" s="9">
        <f t="shared" si="2"/>
        <v>16.563992247685466</v>
      </c>
    </row>
    <row r="40" spans="8:25" x14ac:dyDescent="0.35">
      <c r="H40" t="e">
        <f ca="1"/>
        <v>#NAME?</v>
      </c>
      <c r="I40" s="20" t="e">
        <f ca="1"/>
        <v>#NAME?</v>
      </c>
      <c r="T40" t="s">
        <v>45</v>
      </c>
      <c r="U40" s="15" t="str">
        <f>IF(U39&lt;U37,"low",IF(U37&lt;U38,"high","ok"))</f>
        <v>ok</v>
      </c>
      <c r="V40" s="16" t="str">
        <f>IF(V39&lt;V37,"low",IF(V37&lt;V38,"high","ok"))</f>
        <v>ok</v>
      </c>
      <c r="W40" s="16" t="str">
        <f>IF(W39&lt;W37,"low",IF(W37&lt;W38,"high","ok"))</f>
        <v>ok</v>
      </c>
      <c r="X40" s="16" t="str">
        <f>IF(X39&lt;X37,"low",IF(X37&lt;X38,"high","ok"))</f>
        <v>low</v>
      </c>
      <c r="Y40" s="17" t="str">
        <f>IF(Y39&lt;Y37,"low",IF(Y37&lt;Y38,"high","ok"))</f>
        <v>high</v>
      </c>
    </row>
    <row r="41" spans="8:25" x14ac:dyDescent="0.35">
      <c r="H41" t="e">
        <f ca="1"/>
        <v>#NAME?</v>
      </c>
      <c r="I41" s="23" t="e">
        <f ca="1"/>
        <v>#NAME?</v>
      </c>
    </row>
    <row r="42" spans="8:25" x14ac:dyDescent="0.35">
      <c r="T42" t="s">
        <v>46</v>
      </c>
    </row>
    <row r="44" spans="8:25" x14ac:dyDescent="0.35">
      <c r="U44" s="10" t="str">
        <f t="shared" ref="U44:Y50" si="3">U4</f>
        <v>Style</v>
      </c>
      <c r="V44" s="10" t="str">
        <f t="shared" si="3"/>
        <v>Comfort</v>
      </c>
      <c r="W44" s="10" t="str">
        <f t="shared" si="3"/>
        <v>Stability</v>
      </c>
      <c r="X44" s="10" t="str">
        <f t="shared" si="3"/>
        <v>Cushion</v>
      </c>
      <c r="Y44" s="10" t="str">
        <f t="shared" si="3"/>
        <v>Durability</v>
      </c>
    </row>
    <row r="45" spans="8:25" x14ac:dyDescent="0.35">
      <c r="T45" t="s">
        <v>11</v>
      </c>
      <c r="U45" s="27">
        <f t="shared" si="3"/>
        <v>7</v>
      </c>
      <c r="V45" s="28">
        <f t="shared" si="3"/>
        <v>8</v>
      </c>
      <c r="W45" s="28">
        <f t="shared" si="3"/>
        <v>5</v>
      </c>
      <c r="X45" s="28">
        <f t="shared" si="3"/>
        <v>7</v>
      </c>
      <c r="Y45" s="29">
        <f t="shared" si="3"/>
        <v>9</v>
      </c>
    </row>
    <row r="46" spans="8:25" x14ac:dyDescent="0.35">
      <c r="T46" t="s">
        <v>12</v>
      </c>
      <c r="U46" s="30">
        <f t="shared" si="3"/>
        <v>5.6</v>
      </c>
      <c r="V46" s="10">
        <f t="shared" si="3"/>
        <v>7.4</v>
      </c>
      <c r="W46" s="10">
        <f t="shared" si="3"/>
        <v>5.08</v>
      </c>
      <c r="X46" s="10">
        <f t="shared" si="3"/>
        <v>5.04</v>
      </c>
      <c r="Y46" s="31">
        <f t="shared" si="3"/>
        <v>12.88</v>
      </c>
    </row>
    <row r="47" spans="8:25" x14ac:dyDescent="0.35">
      <c r="T47" t="s">
        <v>13</v>
      </c>
      <c r="U47" s="30">
        <f t="shared" si="3"/>
        <v>2.0816659994661326</v>
      </c>
      <c r="V47" s="10">
        <f t="shared" si="3"/>
        <v>1.707825127659933</v>
      </c>
      <c r="W47" s="10">
        <f t="shared" si="3"/>
        <v>2.7221315177632399</v>
      </c>
      <c r="X47" s="10">
        <f t="shared" si="3"/>
        <v>2.1694853460363976</v>
      </c>
      <c r="Y47" s="31">
        <f t="shared" si="3"/>
        <v>4.5672748986676961</v>
      </c>
    </row>
    <row r="48" spans="8:25" x14ac:dyDescent="0.35">
      <c r="T48" t="s">
        <v>14</v>
      </c>
      <c r="U48" s="30">
        <f t="shared" si="3"/>
        <v>25</v>
      </c>
      <c r="V48" s="10">
        <f t="shared" si="3"/>
        <v>25</v>
      </c>
      <c r="W48" s="10">
        <f t="shared" si="3"/>
        <v>25</v>
      </c>
      <c r="X48" s="10">
        <f t="shared" si="3"/>
        <v>25</v>
      </c>
      <c r="Y48" s="31">
        <f t="shared" si="3"/>
        <v>25</v>
      </c>
    </row>
    <row r="49" spans="20:25" x14ac:dyDescent="0.35">
      <c r="T49" t="s">
        <v>15</v>
      </c>
      <c r="U49" s="30">
        <f t="shared" si="3"/>
        <v>0.41633319989322654</v>
      </c>
      <c r="V49" s="10">
        <f t="shared" si="3"/>
        <v>0.34156502553198659</v>
      </c>
      <c r="W49" s="10">
        <f t="shared" si="3"/>
        <v>0.54442630355264798</v>
      </c>
      <c r="X49" s="10">
        <f t="shared" si="3"/>
        <v>0.43389706920727955</v>
      </c>
      <c r="Y49" s="31">
        <f t="shared" si="3"/>
        <v>0.91345497973353917</v>
      </c>
    </row>
    <row r="50" spans="20:25" x14ac:dyDescent="0.35">
      <c r="T50" t="s">
        <v>18</v>
      </c>
      <c r="U50" s="30">
        <f t="shared" si="3"/>
        <v>24</v>
      </c>
      <c r="V50" s="10">
        <f t="shared" si="3"/>
        <v>24</v>
      </c>
      <c r="W50" s="10">
        <f t="shared" si="3"/>
        <v>24</v>
      </c>
      <c r="X50" s="10">
        <f t="shared" si="3"/>
        <v>24</v>
      </c>
      <c r="Y50" s="31">
        <f t="shared" si="3"/>
        <v>24</v>
      </c>
    </row>
    <row r="51" spans="20:25" x14ac:dyDescent="0.35">
      <c r="T51" t="s">
        <v>19</v>
      </c>
      <c r="U51" s="30">
        <f>U11/U24</f>
        <v>0.01</v>
      </c>
      <c r="V51">
        <f>U51</f>
        <v>0.01</v>
      </c>
      <c r="W51">
        <f>V51</f>
        <v>0.01</v>
      </c>
      <c r="X51">
        <f>W51</f>
        <v>0.01</v>
      </c>
      <c r="Y51" s="7">
        <f>X51</f>
        <v>0.01</v>
      </c>
    </row>
    <row r="52" spans="20:25" x14ac:dyDescent="0.35">
      <c r="T52" t="s">
        <v>20</v>
      </c>
      <c r="U52" s="11">
        <f>(U46-U45)/(U47/SQRT(U48))</f>
        <v>-3.3626912299068308</v>
      </c>
      <c r="V52">
        <f>(V46-V45)/(V47/SQRT(V48))</f>
        <v>-1.7566201313073588</v>
      </c>
      <c r="W52">
        <f>(W46-W45)/(W47/SQRT(W48))</f>
        <v>0.14694367167412914</v>
      </c>
      <c r="X52">
        <f>(X46-X45)/(X47/SQRT(X48))</f>
        <v>-4.5172003663930642</v>
      </c>
      <c r="Y52" s="7">
        <f>(Y46-Y45)/(Y47/SQRT(Y48))</f>
        <v>4.2476094455490543</v>
      </c>
    </row>
    <row r="53" spans="20:25" x14ac:dyDescent="0.35">
      <c r="T53" t="s">
        <v>21</v>
      </c>
      <c r="U53" s="14">
        <f>TINV(U51,U50)</f>
        <v>2.7969395047744556</v>
      </c>
      <c r="V53" s="8">
        <f>TINV(V51,V50)</f>
        <v>2.7969395047744556</v>
      </c>
      <c r="W53" s="8">
        <f>TINV(W51,W50)</f>
        <v>2.7969395047744556</v>
      </c>
      <c r="X53" s="8">
        <f>TINV(X51,X50)</f>
        <v>2.7969395047744556</v>
      </c>
      <c r="Y53" s="9">
        <f>TINV(Y51,Y50)</f>
        <v>2.7969395047744556</v>
      </c>
    </row>
    <row r="54" spans="20:25" x14ac:dyDescent="0.35">
      <c r="T54" t="s">
        <v>22</v>
      </c>
      <c r="U54" s="3">
        <f>TDIST(ABS(U52),U50,2)</f>
        <v>2.583709346226887E-3</v>
      </c>
      <c r="V54" s="4">
        <f>TDIST(ABS(V52),V50,2)</f>
        <v>9.1736307558872063E-2</v>
      </c>
      <c r="W54" s="4">
        <f>TDIST(ABS(W52),W50,2)</f>
        <v>0.8844038961329298</v>
      </c>
      <c r="X54" s="4">
        <f>TDIST(ABS(X52),X50,2)</f>
        <v>1.4176692306704889E-4</v>
      </c>
      <c r="Y54" s="5">
        <f>TDIST(ABS(Y52),Y50,2)</f>
        <v>2.8136047814428781E-4</v>
      </c>
    </row>
    <row r="55" spans="20:25" x14ac:dyDescent="0.35">
      <c r="T55" t="s">
        <v>23</v>
      </c>
      <c r="U55" s="15" t="str">
        <f>IF(U54&lt;=U51,"yes","no")</f>
        <v>yes</v>
      </c>
      <c r="V55" s="16" t="str">
        <f>IF(V54&lt;=V51,"yes","no")</f>
        <v>no</v>
      </c>
      <c r="W55" s="16" t="str">
        <f>IF(W54&lt;=W51,"yes","no")</f>
        <v>no</v>
      </c>
      <c r="X55" s="16" t="str">
        <f>IF(X54&lt;=X51,"yes","no")</f>
        <v>yes</v>
      </c>
      <c r="Y55" s="17" t="str">
        <f>IF(Y54&lt;=Y51,"yes","no")</f>
        <v>yes</v>
      </c>
    </row>
    <row r="56" spans="20:25" x14ac:dyDescent="0.35">
      <c r="T56" t="s">
        <v>24</v>
      </c>
      <c r="U56" s="3">
        <f>U46-U53*U49</f>
        <v>4.435541226069474</v>
      </c>
      <c r="V56" s="4">
        <f>V46-V53*V49</f>
        <v>6.4446632866402913</v>
      </c>
      <c r="W56" s="4">
        <f>W46-W53*W49</f>
        <v>3.5572725641552694</v>
      </c>
      <c r="X56" s="4">
        <f>X46-X53*X49</f>
        <v>3.8264161461283042</v>
      </c>
      <c r="Y56" s="5">
        <f>Y46-Y53*Y49</f>
        <v>10.325121681350316</v>
      </c>
    </row>
    <row r="57" spans="20:25" x14ac:dyDescent="0.35">
      <c r="T57" t="s">
        <v>25</v>
      </c>
      <c r="U57" s="14">
        <f>U46+U53*U49</f>
        <v>6.7644587739305253</v>
      </c>
      <c r="V57" s="8">
        <f>V46+V53*V49</f>
        <v>8.3553367133597085</v>
      </c>
      <c r="W57" s="8">
        <f>W46+W53*W49</f>
        <v>6.6027274358447308</v>
      </c>
      <c r="X57" s="8">
        <f>X46+X53*X49</f>
        <v>6.2535838538716959</v>
      </c>
      <c r="Y57" s="9">
        <f>Y46+Y53*Y49</f>
        <v>15.434878318649686</v>
      </c>
    </row>
    <row r="59" spans="20:25" x14ac:dyDescent="0.35">
      <c r="T59" t="s">
        <v>47</v>
      </c>
    </row>
    <row r="61" spans="20:25" x14ac:dyDescent="0.35">
      <c r="U61" s="10" t="str">
        <f t="shared" ref="U61:Y62" si="4">U44</f>
        <v>Style</v>
      </c>
      <c r="V61" s="10" t="str">
        <f t="shared" si="4"/>
        <v>Comfort</v>
      </c>
      <c r="W61" s="10" t="str">
        <f t="shared" si="4"/>
        <v>Stability</v>
      </c>
      <c r="X61" s="10" t="str">
        <f t="shared" si="4"/>
        <v>Cushion</v>
      </c>
      <c r="Y61" s="10" t="str">
        <f t="shared" si="4"/>
        <v>Durability</v>
      </c>
    </row>
    <row r="62" spans="20:25" x14ac:dyDescent="0.35">
      <c r="T62" t="s">
        <v>11</v>
      </c>
      <c r="U62" s="24">
        <f t="shared" si="4"/>
        <v>7</v>
      </c>
      <c r="V62" s="25">
        <f t="shared" si="4"/>
        <v>8</v>
      </c>
      <c r="W62" s="25">
        <f t="shared" si="4"/>
        <v>5</v>
      </c>
      <c r="X62" s="25">
        <f t="shared" si="4"/>
        <v>7</v>
      </c>
      <c r="Y62" s="26">
        <f t="shared" si="4"/>
        <v>9</v>
      </c>
    </row>
    <row r="63" spans="20:25" x14ac:dyDescent="0.35">
      <c r="T63" t="s">
        <v>24</v>
      </c>
      <c r="U63" s="3">
        <f t="shared" ref="U63:Y64" si="5">U56</f>
        <v>4.435541226069474</v>
      </c>
      <c r="V63" s="4">
        <f t="shared" si="5"/>
        <v>6.4446632866402913</v>
      </c>
      <c r="W63" s="4">
        <f t="shared" si="5"/>
        <v>3.5572725641552694</v>
      </c>
      <c r="X63" s="4">
        <f t="shared" si="5"/>
        <v>3.8264161461283042</v>
      </c>
      <c r="Y63" s="5">
        <f t="shared" si="5"/>
        <v>10.325121681350316</v>
      </c>
    </row>
    <row r="64" spans="20:25" x14ac:dyDescent="0.35">
      <c r="T64" t="s">
        <v>25</v>
      </c>
      <c r="U64" s="14">
        <f t="shared" si="5"/>
        <v>6.7644587739305253</v>
      </c>
      <c r="V64" s="8">
        <f t="shared" si="5"/>
        <v>8.3553367133597085</v>
      </c>
      <c r="W64" s="8">
        <f t="shared" si="5"/>
        <v>6.6027274358447308</v>
      </c>
      <c r="X64" s="8">
        <f t="shared" si="5"/>
        <v>6.2535838538716959</v>
      </c>
      <c r="Y64" s="9">
        <f t="shared" si="5"/>
        <v>15.434878318649686</v>
      </c>
    </row>
    <row r="65" spans="20:25" x14ac:dyDescent="0.35">
      <c r="T65" t="s">
        <v>45</v>
      </c>
      <c r="U65" s="15" t="str">
        <f>IF(U64&lt;U62,"low",IF(U62&lt;U63,"high","ok"))</f>
        <v>low</v>
      </c>
      <c r="V65" s="16" t="str">
        <f>IF(V64&lt;V62,"low",IF(V62&lt;V63,"high","ok"))</f>
        <v>ok</v>
      </c>
      <c r="W65" s="16" t="str">
        <f>IF(W64&lt;W62,"low",IF(W62&lt;W63,"high","ok"))</f>
        <v>ok</v>
      </c>
      <c r="X65" s="16" t="str">
        <f>IF(X64&lt;X62,"low",IF(X62&lt;X63,"high","ok"))</f>
        <v>low</v>
      </c>
      <c r="Y65" s="17" t="str">
        <f>IF(Y64&lt;Y62,"low",IF(Y62&lt;Y63,"high","ok"))</f>
        <v>high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Hotel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2025-10-28T17:40:07Z</dcterms:created>
  <dcterms:modified xsi:type="dcterms:W3CDTF">2025-10-28T17:42:28Z</dcterms:modified>
</cp:coreProperties>
</file>