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CA3C7F2D-55AE-4C18-A88A-FD2FDC958FDE}" xr6:coauthVersionLast="47" xr6:coauthVersionMax="47" xr10:uidLastSave="{00000000-0000-0000-0000-000000000000}"/>
  <bookViews>
    <workbookView xWindow="-110" yWindow="-110" windowWidth="19420" windowHeight="10300" xr2:uid="{44F940DB-99BC-4867-A2A6-D49E54719ECE}"/>
  </bookViews>
  <sheets>
    <sheet name="Title" sheetId="3" r:id="rId1"/>
    <sheet name="Newey 1" sheetId="1" r:id="rId2"/>
    <sheet name="Newey 2" sheetId="2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2" l="1" a="1"/>
  <c r="K22" i="2" s="1"/>
  <c r="P19" i="2"/>
  <c r="P18" i="2"/>
  <c r="J17" i="2" a="1"/>
  <c r="J17" i="2" s="1"/>
  <c r="K12" i="2" s="1"/>
  <c r="G9" i="2"/>
  <c r="G10" i="2" s="1"/>
  <c r="G4" i="2"/>
  <c r="G7" i="2" s="1"/>
  <c r="AC22" i="1" a="1"/>
  <c r="AD24" i="1" s="1"/>
  <c r="Z22" i="1" a="1"/>
  <c r="AA23" i="1" s="1"/>
  <c r="W22" i="1" a="1"/>
  <c r="W24" i="1" s="1"/>
  <c r="T22" i="1" a="1"/>
  <c r="V23" i="1" s="1"/>
  <c r="AF19" i="1"/>
  <c r="AF18" i="1"/>
  <c r="Z17" i="1" a="1"/>
  <c r="Z18" i="1" s="1"/>
  <c r="T17" i="1" a="1"/>
  <c r="T17" i="1" s="1"/>
  <c r="I18" i="2" a="1"/>
  <c r="I19" i="2" s="1"/>
  <c r="K14" i="2"/>
  <c r="J14" i="2"/>
  <c r="J13" i="2" s="1"/>
  <c r="J12" i="2"/>
  <c r="J8" i="2"/>
  <c r="G6" i="2"/>
  <c r="G5" i="2"/>
  <c r="N23" i="1"/>
  <c r="N24" i="1" s="1"/>
  <c r="N22" i="1"/>
  <c r="Y18" i="1" a="1"/>
  <c r="Y19" i="1" s="1"/>
  <c r="AA14" i="1"/>
  <c r="Z12" i="1"/>
  <c r="N9" i="1"/>
  <c r="Z8" i="1"/>
  <c r="N7" i="1"/>
  <c r="N12" i="1" s="1"/>
  <c r="N4" i="1"/>
  <c r="F4" i="1" a="1"/>
  <c r="F13" i="1" s="1"/>
  <c r="G13" i="1" s="1"/>
  <c r="Z24" i="1" l="1"/>
  <c r="AA24" i="1"/>
  <c r="K24" i="2"/>
  <c r="AA18" i="1"/>
  <c r="Z19" i="1"/>
  <c r="AA19" i="1"/>
  <c r="U17" i="1"/>
  <c r="V17" i="1"/>
  <c r="T18" i="1"/>
  <c r="U18" i="1"/>
  <c r="T24" i="1"/>
  <c r="V18" i="1"/>
  <c r="U24" i="1"/>
  <c r="T19" i="1"/>
  <c r="V24" i="1"/>
  <c r="J23" i="2"/>
  <c r="U19" i="1"/>
  <c r="K23" i="2"/>
  <c r="V19" i="1"/>
  <c r="J24" i="2"/>
  <c r="K17" i="2"/>
  <c r="AC22" i="1"/>
  <c r="J18" i="2"/>
  <c r="W22" i="1"/>
  <c r="AD22" i="1"/>
  <c r="K18" i="2"/>
  <c r="W23" i="1"/>
  <c r="AC23" i="1"/>
  <c r="J19" i="2"/>
  <c r="T22" i="1"/>
  <c r="AD23" i="1"/>
  <c r="K19" i="2"/>
  <c r="U22" i="1"/>
  <c r="AC24" i="1"/>
  <c r="V22" i="1"/>
  <c r="Z22" i="1"/>
  <c r="Z17" i="1"/>
  <c r="AA12" i="1" s="1"/>
  <c r="T23" i="1"/>
  <c r="AA22" i="1"/>
  <c r="AA17" i="1"/>
  <c r="U23" i="1"/>
  <c r="Z23" i="1"/>
  <c r="J22" i="2"/>
  <c r="L22" i="2" s="1"/>
  <c r="M22" i="2" s="1"/>
  <c r="N17" i="1"/>
  <c r="N19" i="1" s="1"/>
  <c r="N14" i="1"/>
  <c r="F8" i="1"/>
  <c r="G8" i="1" s="1"/>
  <c r="F9" i="1"/>
  <c r="G9" i="1" s="1"/>
  <c r="F10" i="1"/>
  <c r="G10" i="1" s="1"/>
  <c r="I18" i="2"/>
  <c r="I23" i="2" s="1" a="1"/>
  <c r="F19" i="1"/>
  <c r="G19" i="1" s="1"/>
  <c r="F7" i="1"/>
  <c r="G7" i="1" s="1"/>
  <c r="F18" i="1"/>
  <c r="G18" i="1" s="1"/>
  <c r="F6" i="1"/>
  <c r="G6" i="1" s="1"/>
  <c r="F17" i="1"/>
  <c r="G17" i="1" s="1"/>
  <c r="F5" i="1"/>
  <c r="G5" i="1" s="1"/>
  <c r="F16" i="1"/>
  <c r="G16" i="1" s="1"/>
  <c r="F4" i="1"/>
  <c r="G4" i="1" s="1"/>
  <c r="F15" i="1"/>
  <c r="G15" i="1" s="1"/>
  <c r="Y18" i="1"/>
  <c r="F11" i="1"/>
  <c r="G11" i="1" s="1"/>
  <c r="F12" i="1"/>
  <c r="G12" i="1" s="1"/>
  <c r="F14" i="1"/>
  <c r="G14" i="1" s="1"/>
  <c r="Z14" i="1"/>
  <c r="Z13" i="1" s="1"/>
  <c r="F21" i="1"/>
  <c r="G21" i="1" s="1"/>
  <c r="F22" i="1"/>
  <c r="G22" i="1" s="1"/>
  <c r="F23" i="1"/>
  <c r="G23" i="1" s="1"/>
  <c r="F20" i="1"/>
  <c r="G20" i="1" s="1"/>
  <c r="AB17" i="1" l="1"/>
  <c r="AE17" i="1"/>
  <c r="AC17" i="1"/>
  <c r="L23" i="2"/>
  <c r="M23" i="2" s="1"/>
  <c r="AD17" i="1"/>
  <c r="L17" i="2"/>
  <c r="M17" i="2" s="1"/>
  <c r="O17" i="2"/>
  <c r="N17" i="2"/>
  <c r="I24" i="2"/>
  <c r="I23" i="2"/>
  <c r="O18" i="2"/>
  <c r="N18" i="2"/>
  <c r="L18" i="2"/>
  <c r="M18" i="2" s="1"/>
  <c r="AE18" i="1"/>
  <c r="AD18" i="1"/>
  <c r="AB18" i="1"/>
  <c r="AC18" i="1" s="1"/>
  <c r="L19" i="2"/>
  <c r="M19" i="2" s="1"/>
  <c r="O19" i="2"/>
  <c r="N19" i="2"/>
  <c r="AE19" i="1"/>
  <c r="AD19" i="1"/>
  <c r="AB19" i="1"/>
  <c r="AC19" i="1" s="1"/>
  <c r="I2" i="1" a="1"/>
  <c r="I17" i="1" a="1"/>
  <c r="I12" i="1" a="1"/>
  <c r="I7" i="1" a="1"/>
  <c r="L24" i="2"/>
  <c r="M24" i="2" s="1"/>
  <c r="Z5" i="1"/>
  <c r="AB12" i="1"/>
  <c r="AA13" i="1"/>
  <c r="K4" i="1" l="1"/>
  <c r="J3" i="1"/>
  <c r="I3" i="1"/>
  <c r="K2" i="1"/>
  <c r="I2" i="1"/>
  <c r="J4" i="1"/>
  <c r="K3" i="1"/>
  <c r="I4" i="1"/>
  <c r="J2" i="1"/>
  <c r="L12" i="2"/>
  <c r="J5" i="2"/>
  <c r="K13" i="2"/>
  <c r="Z4" i="1"/>
  <c r="Z6" i="1"/>
  <c r="I17" i="1"/>
  <c r="K19" i="1"/>
  <c r="I18" i="1"/>
  <c r="K17" i="1"/>
  <c r="I19" i="1"/>
  <c r="K18" i="1"/>
  <c r="J18" i="1"/>
  <c r="J19" i="1"/>
  <c r="J17" i="1"/>
  <c r="AB13" i="1"/>
  <c r="Z7" i="1" s="1"/>
  <c r="AC6" i="1"/>
  <c r="AC4" i="1"/>
  <c r="AC5" i="1" s="1"/>
  <c r="K12" i="1"/>
  <c r="J12" i="1"/>
  <c r="I12" i="1"/>
  <c r="I13" i="1"/>
  <c r="K14" i="1"/>
  <c r="J14" i="1"/>
  <c r="J13" i="1"/>
  <c r="I14" i="1"/>
  <c r="K13" i="1"/>
  <c r="J9" i="1"/>
  <c r="I9" i="1"/>
  <c r="K8" i="1"/>
  <c r="J8" i="1"/>
  <c r="I8" i="1"/>
  <c r="J7" i="1"/>
  <c r="K9" i="1"/>
  <c r="K7" i="1"/>
  <c r="I7" i="1"/>
  <c r="AC12" i="1" l="1"/>
  <c r="AD12" i="1" s="1"/>
  <c r="AE12" i="1" s="1"/>
  <c r="P12" i="1" a="1"/>
  <c r="P17" i="1" a="1"/>
  <c r="L13" i="2"/>
  <c r="J7" i="2" s="1"/>
  <c r="M6" i="2"/>
  <c r="M4" i="2"/>
  <c r="M5" i="2" s="1"/>
  <c r="J4" i="2"/>
  <c r="J6" i="2"/>
  <c r="M12" i="2"/>
  <c r="N12" i="2" s="1"/>
  <c r="O12" i="2" s="1"/>
  <c r="P7" i="1" a="1"/>
  <c r="P2" i="1" a="1"/>
  <c r="Q2" i="1" l="1"/>
  <c r="P2" i="1"/>
  <c r="R3" i="1"/>
  <c r="Q4" i="1"/>
  <c r="P4" i="1"/>
  <c r="Q3" i="1"/>
  <c r="R2" i="1"/>
  <c r="P3" i="1"/>
  <c r="R4" i="1"/>
  <c r="R9" i="1"/>
  <c r="Q9" i="1"/>
  <c r="P9" i="1"/>
  <c r="R8" i="1"/>
  <c r="Q8" i="1"/>
  <c r="Q7" i="1"/>
  <c r="P8" i="1"/>
  <c r="R7" i="1"/>
  <c r="P7" i="1"/>
  <c r="Q17" i="1"/>
  <c r="P17" i="1"/>
  <c r="P19" i="1"/>
  <c r="R19" i="1"/>
  <c r="R18" i="1"/>
  <c r="R17" i="1"/>
  <c r="Q18" i="1"/>
  <c r="P18" i="1"/>
  <c r="Q19" i="1"/>
  <c r="P13" i="1"/>
  <c r="R12" i="1"/>
  <c r="Q12" i="1"/>
  <c r="P12" i="1"/>
  <c r="R13" i="1"/>
  <c r="R14" i="1"/>
  <c r="Q14" i="1"/>
  <c r="P14" i="1"/>
  <c r="Q13" i="1"/>
  <c r="P22" i="1" l="1" a="1"/>
  <c r="R24" i="1" l="1"/>
  <c r="Q24" i="1"/>
  <c r="P24" i="1"/>
  <c r="R23" i="1"/>
  <c r="Q22" i="1"/>
  <c r="Q23" i="1"/>
  <c r="P23" i="1"/>
  <c r="R22" i="1"/>
  <c r="P22" i="1"/>
</calcChain>
</file>

<file path=xl/sharedStrings.xml><?xml version="1.0" encoding="utf-8"?>
<sst xmlns="http://schemas.openxmlformats.org/spreadsheetml/2006/main" count="123" uniqueCount="64">
  <si>
    <t>Newey-West</t>
  </si>
  <si>
    <t>W0</t>
  </si>
  <si>
    <t>W0 weighted</t>
  </si>
  <si>
    <t>Regression Analysis</t>
  </si>
  <si>
    <t>i</t>
  </si>
  <si>
    <t>Constant</t>
  </si>
  <si>
    <t>GNP</t>
  </si>
  <si>
    <t>Interest</t>
  </si>
  <si>
    <t>Invest</t>
  </si>
  <si>
    <t>Pred</t>
  </si>
  <si>
    <r>
      <t>Res (</t>
    </r>
    <r>
      <rPr>
        <b/>
        <sz val="10"/>
        <rFont val="Calibri"/>
        <family val="2"/>
      </rPr>
      <t>ε</t>
    </r>
    <r>
      <rPr>
        <b/>
        <sz val="10"/>
        <rFont val="Arial"/>
        <family val="2"/>
      </rPr>
      <t>)</t>
    </r>
  </si>
  <si>
    <t>h</t>
  </si>
  <si>
    <t>OVERALL FIT</t>
  </si>
  <si>
    <t>mult</t>
  </si>
  <si>
    <t>Multiple R</t>
  </si>
  <si>
    <t>AIC</t>
  </si>
  <si>
    <t>R Square</t>
  </si>
  <si>
    <t>AICc</t>
  </si>
  <si>
    <t>W1</t>
  </si>
  <si>
    <t>W1 weighted</t>
  </si>
  <si>
    <t>Adjusted R Square</t>
  </si>
  <si>
    <t>SBC</t>
  </si>
  <si>
    <t>Standard Error</t>
  </si>
  <si>
    <t>Observations</t>
  </si>
  <si>
    <t>ANOVA</t>
  </si>
  <si>
    <t>Alpha</t>
  </si>
  <si>
    <t>W2</t>
  </si>
  <si>
    <t>W2 weighted</t>
  </si>
  <si>
    <t>df</t>
  </si>
  <si>
    <t>SS</t>
  </si>
  <si>
    <t>MS</t>
  </si>
  <si>
    <t>F</t>
  </si>
  <si>
    <t>p-value</t>
  </si>
  <si>
    <t>sig</t>
  </si>
  <si>
    <t>Regression</t>
  </si>
  <si>
    <t>Residual</t>
  </si>
  <si>
    <t>Total</t>
  </si>
  <si>
    <t>W3</t>
  </si>
  <si>
    <t>W3 weighted</t>
  </si>
  <si>
    <r>
      <t>(X'X)</t>
    </r>
    <r>
      <rPr>
        <vertAlign val="superscript"/>
        <sz val="11"/>
        <color theme="1"/>
        <rFont val="Calibri"/>
        <family val="2"/>
        <scheme val="minor"/>
      </rPr>
      <t>-1</t>
    </r>
  </si>
  <si>
    <t>coeff</t>
  </si>
  <si>
    <t>std err</t>
  </si>
  <si>
    <t>t stat</t>
  </si>
  <si>
    <t>lower</t>
  </si>
  <si>
    <t>upper</t>
  </si>
  <si>
    <t>vif</t>
  </si>
  <si>
    <t>Intercept</t>
  </si>
  <si>
    <t>X'SX</t>
  </si>
  <si>
    <t>Cov(B)</t>
  </si>
  <si>
    <t>s.e</t>
  </si>
  <si>
    <t>n</t>
  </si>
  <si>
    <t>k</t>
  </si>
  <si>
    <t>Breusch-Godfrey Test</t>
  </si>
  <si>
    <t>Lags</t>
  </si>
  <si>
    <t>LM*</t>
  </si>
  <si>
    <t>df1</t>
  </si>
  <si>
    <t>df2</t>
  </si>
  <si>
    <t>LM</t>
  </si>
  <si>
    <t>ols</t>
  </si>
  <si>
    <t>newey-west</t>
  </si>
  <si>
    <t>Real Statistics Using Excel</t>
  </si>
  <si>
    <t>Updated</t>
  </si>
  <si>
    <t>Copyright © 2013 - 2025 Charles Zaiontz</t>
  </si>
  <si>
    <t>Newey-West Standard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</si>
</sst>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</font>
    <font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4" fontId="4" fillId="0" borderId="7" xfId="0" applyNumberFormat="1" applyFont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top" wrapText="1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15" fontId="0" fillId="0" borderId="0" xfId="0" applyNumberForma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les/Documents/A%20Real%20Statistics%202019/Spreadsheets/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08CC-4514-49D1-A33E-CD4DF4A99FD3}">
  <dimension ref="A1:B6"/>
  <sheetViews>
    <sheetView tabSelected="1" workbookViewId="0"/>
  </sheetViews>
  <sheetFormatPr defaultRowHeight="14.5" x14ac:dyDescent="0.35"/>
  <cols>
    <col min="2" max="2" width="9.08984375" bestFit="1" customWidth="1"/>
  </cols>
  <sheetData>
    <row r="1" spans="1:2" x14ac:dyDescent="0.35">
      <c r="A1" t="s">
        <v>60</v>
      </c>
    </row>
    <row r="2" spans="1:2" x14ac:dyDescent="0.35">
      <c r="A2" t="s">
        <v>63</v>
      </c>
    </row>
    <row r="4" spans="1:2" x14ac:dyDescent="0.35">
      <c r="A4" t="s">
        <v>61</v>
      </c>
      <c r="B4" s="26">
        <v>45946</v>
      </c>
    </row>
    <row r="6" spans="1:2" x14ac:dyDescent="0.35">
      <c r="A6" s="27" t="s">
        <v>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0171-9CBD-4399-A4A3-F0DE6FC28FFD}">
  <dimension ref="A1:AF24"/>
  <sheetViews>
    <sheetView workbookViewId="0"/>
  </sheetViews>
  <sheetFormatPr defaultRowHeight="14.5" x14ac:dyDescent="0.35"/>
  <cols>
    <col min="5" max="5" width="3.7265625" customWidth="1"/>
    <col min="9" max="11" width="9.1796875" customWidth="1"/>
    <col min="12" max="12" width="2.7265625" customWidth="1"/>
    <col min="13" max="13" width="5" customWidth="1"/>
    <col min="15" max="15" width="2.7265625" customWidth="1"/>
    <col min="16" max="16" width="9.26953125" bestFit="1" customWidth="1"/>
    <col min="17" max="18" width="9.1796875" customWidth="1"/>
    <col min="19" max="19" width="2.7265625" customWidth="1"/>
    <col min="20" max="20" width="9.26953125" bestFit="1" customWidth="1"/>
    <col min="21" max="22" width="9.1796875" customWidth="1"/>
    <col min="28" max="28" width="9.1796875" customWidth="1"/>
  </cols>
  <sheetData>
    <row r="1" spans="1:32" x14ac:dyDescent="0.35">
      <c r="A1" s="1" t="s">
        <v>0</v>
      </c>
      <c r="I1" t="s">
        <v>1</v>
      </c>
      <c r="P1" t="s">
        <v>2</v>
      </c>
      <c r="Y1" t="s">
        <v>3</v>
      </c>
    </row>
    <row r="2" spans="1:32" x14ac:dyDescent="0.35">
      <c r="I2" s="2">
        <f t="array" ref="I2:K4">MMULT(TRANSPOSE(A4:C23),A4:C23*G4:G23^2)</f>
        <v>5043.8991509983152</v>
      </c>
      <c r="J2" s="3">
        <v>6553087.8791490663</v>
      </c>
      <c r="K2" s="4">
        <v>14956.231651221304</v>
      </c>
      <c r="M2" t="s">
        <v>4</v>
      </c>
      <c r="N2" s="10">
        <v>0</v>
      </c>
      <c r="P2" s="2">
        <f t="array" ref="P2:R4">I2:K4*N4</f>
        <v>5043.8991509983152</v>
      </c>
      <c r="Q2" s="3">
        <v>6553087.8791490663</v>
      </c>
      <c r="R2" s="4">
        <v>14956.231651221304</v>
      </c>
    </row>
    <row r="3" spans="1:32" ht="15" thickBot="1" x14ac:dyDescent="0.4">
      <c r="A3" s="11" t="s">
        <v>5</v>
      </c>
      <c r="B3" s="11" t="s">
        <v>6</v>
      </c>
      <c r="C3" s="11" t="s">
        <v>7</v>
      </c>
      <c r="D3" s="11" t="s">
        <v>8</v>
      </c>
      <c r="F3" s="11" t="s">
        <v>9</v>
      </c>
      <c r="G3" s="11" t="s">
        <v>10</v>
      </c>
      <c r="H3" s="12"/>
      <c r="I3" s="5">
        <v>6553087.8791490663</v>
      </c>
      <c r="J3">
        <v>8691982792.8405228</v>
      </c>
      <c r="K3" s="6">
        <v>19856622.364366218</v>
      </c>
      <c r="M3" t="s">
        <v>11</v>
      </c>
      <c r="N3" s="13">
        <v>3</v>
      </c>
      <c r="P3" s="5">
        <v>6553087.8791490663</v>
      </c>
      <c r="Q3">
        <v>8691982792.8405228</v>
      </c>
      <c r="R3" s="6">
        <v>19856622.364366218</v>
      </c>
      <c r="Y3" s="14" t="s">
        <v>12</v>
      </c>
      <c r="Z3" s="14"/>
      <c r="AB3" s="14"/>
      <c r="AC3" s="14"/>
    </row>
    <row r="4" spans="1:32" ht="15" thickTop="1" x14ac:dyDescent="0.35">
      <c r="A4" s="15">
        <v>1</v>
      </c>
      <c r="B4" s="16">
        <v>860.8</v>
      </c>
      <c r="C4" s="17">
        <v>4.62</v>
      </c>
      <c r="D4" s="16">
        <v>112.2</v>
      </c>
      <c r="F4">
        <f t="array" ref="F4:F23">TREND(D4:D23,B4:C23)</f>
        <v>128.29555143282235</v>
      </c>
      <c r="G4" s="15">
        <f>D4-F4</f>
        <v>-16.095551432822347</v>
      </c>
      <c r="I4" s="7">
        <v>14956.231651221304</v>
      </c>
      <c r="J4" s="8">
        <v>19856622.364366218</v>
      </c>
      <c r="K4" s="9">
        <v>59473.719486571521</v>
      </c>
      <c r="M4" t="s">
        <v>13</v>
      </c>
      <c r="N4" s="18">
        <f>1-N2/(N3+1)</f>
        <v>1</v>
      </c>
      <c r="P4" s="7">
        <v>14956.231651221304</v>
      </c>
      <c r="Q4" s="8">
        <v>19856622.364366218</v>
      </c>
      <c r="R4" s="9">
        <v>59473.719486571521</v>
      </c>
      <c r="Y4" t="s">
        <v>14</v>
      </c>
      <c r="Z4" t="e">
        <f ca="1">SQRT(Z5)</f>
        <v>#NAME?</v>
      </c>
      <c r="AB4" t="s">
        <v>15</v>
      </c>
      <c r="AC4" t="e">
        <f ca="1">Z8*LN(AA13/Z8)+2*(Z12+1)</f>
        <v>#NAME?</v>
      </c>
    </row>
    <row r="5" spans="1:32" x14ac:dyDescent="0.35">
      <c r="A5" s="15">
        <v>1</v>
      </c>
      <c r="B5" s="16">
        <v>866.9</v>
      </c>
      <c r="C5" s="17">
        <v>4.0999999999999996</v>
      </c>
      <c r="D5" s="16">
        <v>132.4</v>
      </c>
      <c r="F5">
        <v>130.07396675321831</v>
      </c>
      <c r="G5" s="15">
        <f t="shared" ref="G5:G23" si="0">D5-F5</f>
        <v>2.3260332467816909</v>
      </c>
      <c r="Y5" t="s">
        <v>16</v>
      </c>
      <c r="Z5" t="e">
        <f ca="1">AA12/AA14</f>
        <v>#NAME?</v>
      </c>
      <c r="AB5" t="s">
        <v>17</v>
      </c>
      <c r="AC5" t="e">
        <f ca="1">AC4+2*(Z12+2)*(Z12+3)/(Z8-Z12-3)</f>
        <v>#NAME?</v>
      </c>
    </row>
    <row r="6" spans="1:32" x14ac:dyDescent="0.35">
      <c r="A6" s="15">
        <v>1</v>
      </c>
      <c r="B6" s="16">
        <v>919.2</v>
      </c>
      <c r="C6" s="17">
        <v>4.04</v>
      </c>
      <c r="D6" s="16">
        <v>153.4</v>
      </c>
      <c r="F6">
        <v>139.25804462607576</v>
      </c>
      <c r="G6" s="15">
        <f t="shared" si="0"/>
        <v>14.141955373924247</v>
      </c>
      <c r="I6" t="s">
        <v>18</v>
      </c>
      <c r="P6" t="s">
        <v>19</v>
      </c>
      <c r="Y6" t="s">
        <v>20</v>
      </c>
      <c r="Z6" t="e">
        <f ca="1">1-(1-Z5)*(Z8-1)/(Z8-Z12-1)</f>
        <v>#NAME?</v>
      </c>
      <c r="AB6" s="8" t="s">
        <v>21</v>
      </c>
      <c r="AC6" s="8" t="e">
        <f ca="1">Z8*LN(AA13/Z8)+(Z12+1)*LN(Z8)</f>
        <v>#NAME?</v>
      </c>
    </row>
    <row r="7" spans="1:32" x14ac:dyDescent="0.35">
      <c r="A7" s="15">
        <v>1</v>
      </c>
      <c r="B7" s="16">
        <v>974.6</v>
      </c>
      <c r="C7" s="17">
        <v>3.42</v>
      </c>
      <c r="D7" s="16">
        <v>162.30000000000001</v>
      </c>
      <c r="F7">
        <v>149.75361583369013</v>
      </c>
      <c r="G7" s="15">
        <f t="shared" si="0"/>
        <v>12.546384166309878</v>
      </c>
      <c r="I7" s="2">
        <f t="array" ref="I7:K9">MMULT(TRANSPOSE(A4:C22),A5:C23*G4:G22*G5:G23)+MMULT(TRANSPOSE(A5:C23),A4:C22*G4:G22*G5:G23)</f>
        <v>2515.4754764873792</v>
      </c>
      <c r="J7" s="3">
        <v>3162032.6661211378</v>
      </c>
      <c r="K7" s="4">
        <v>5706.8899711301156</v>
      </c>
      <c r="M7" t="s">
        <v>4</v>
      </c>
      <c r="N7" s="10">
        <f>N2+1</f>
        <v>1</v>
      </c>
      <c r="P7" s="2">
        <f t="array" ref="P7:R9">I7:K9*N9</f>
        <v>1886.6066073655343</v>
      </c>
      <c r="Q7" s="3">
        <v>2371524.4995908532</v>
      </c>
      <c r="R7" s="4">
        <v>4280.1674783475864</v>
      </c>
      <c r="Y7" t="s">
        <v>22</v>
      </c>
      <c r="Z7" t="e">
        <f ca="1">SQRT(AB13)</f>
        <v>#NAME?</v>
      </c>
    </row>
    <row r="8" spans="1:32" x14ac:dyDescent="0.35">
      <c r="A8" s="15">
        <v>1</v>
      </c>
      <c r="B8" s="16">
        <v>1001.2</v>
      </c>
      <c r="C8" s="17">
        <v>3.3499999999999996</v>
      </c>
      <c r="D8" s="16">
        <v>156.5</v>
      </c>
      <c r="F8">
        <v>154.47910936787841</v>
      </c>
      <c r="G8" s="15">
        <f t="shared" si="0"/>
        <v>2.020890632121592</v>
      </c>
      <c r="I8" s="5">
        <v>3162032.6661211378</v>
      </c>
      <c r="J8">
        <v>4036354456.1101942</v>
      </c>
      <c r="K8" s="6">
        <v>6923388.7828721981</v>
      </c>
      <c r="M8" t="s">
        <v>11</v>
      </c>
      <c r="N8" s="13">
        <v>3</v>
      </c>
      <c r="P8" s="5">
        <v>2371524.4995908532</v>
      </c>
      <c r="Q8">
        <v>3027265842.0826454</v>
      </c>
      <c r="R8" s="6">
        <v>5192541.5871541481</v>
      </c>
      <c r="Y8" s="8" t="s">
        <v>23</v>
      </c>
      <c r="Z8" s="8">
        <f>COUNT(D4:D23)</f>
        <v>20</v>
      </c>
    </row>
    <row r="9" spans="1:32" x14ac:dyDescent="0.35">
      <c r="A9" s="15">
        <v>1</v>
      </c>
      <c r="B9" s="16">
        <v>1048.5</v>
      </c>
      <c r="C9" s="17">
        <v>2.9899999999999998</v>
      </c>
      <c r="D9" s="16">
        <v>162.69999999999999</v>
      </c>
      <c r="F9">
        <v>163.20666081495773</v>
      </c>
      <c r="G9" s="15">
        <f t="shared" si="0"/>
        <v>-0.50666081495774051</v>
      </c>
      <c r="I9" s="7">
        <v>5706.8899711301146</v>
      </c>
      <c r="J9" s="8">
        <v>6923388.7828721981</v>
      </c>
      <c r="K9" s="9">
        <v>11688.606747700602</v>
      </c>
      <c r="M9" t="s">
        <v>13</v>
      </c>
      <c r="N9" s="18">
        <f>1-N7/(N8+1)</f>
        <v>0.75</v>
      </c>
      <c r="P9" s="7">
        <v>4280.1674783475864</v>
      </c>
      <c r="Q9" s="8">
        <v>5192541.5871541481</v>
      </c>
      <c r="R9" s="9">
        <v>8766.4550607754518</v>
      </c>
    </row>
    <row r="10" spans="1:32" ht="15" thickBot="1" x14ac:dyDescent="0.4">
      <c r="A10" s="15">
        <v>1</v>
      </c>
      <c r="B10" s="16">
        <v>1077</v>
      </c>
      <c r="C10" s="17">
        <v>2.8099999999999996</v>
      </c>
      <c r="D10" s="16">
        <v>166.2</v>
      </c>
      <c r="F10">
        <v>168.41444419921717</v>
      </c>
      <c r="G10" s="15">
        <f t="shared" si="0"/>
        <v>-2.2144441992171835</v>
      </c>
      <c r="Y10" t="s">
        <v>24</v>
      </c>
      <c r="AC10" s="15" t="s">
        <v>25</v>
      </c>
      <c r="AD10" s="15">
        <v>0.05</v>
      </c>
    </row>
    <row r="11" spans="1:32" ht="15" thickTop="1" x14ac:dyDescent="0.35">
      <c r="A11" s="15">
        <v>1</v>
      </c>
      <c r="B11" s="16">
        <v>1075.2</v>
      </c>
      <c r="C11" s="17">
        <v>2.7600000000000002</v>
      </c>
      <c r="D11" s="16">
        <v>158.5</v>
      </c>
      <c r="F11">
        <v>168.17013500343717</v>
      </c>
      <c r="G11" s="15">
        <f t="shared" si="0"/>
        <v>-9.6701350034371671</v>
      </c>
      <c r="I11" t="s">
        <v>26</v>
      </c>
      <c r="P11" t="s">
        <v>27</v>
      </c>
      <c r="Y11" s="19"/>
      <c r="Z11" s="19" t="s">
        <v>28</v>
      </c>
      <c r="AA11" s="19" t="s">
        <v>29</v>
      </c>
      <c r="AB11" s="19" t="s">
        <v>30</v>
      </c>
      <c r="AC11" s="19" t="s">
        <v>31</v>
      </c>
      <c r="AD11" s="19" t="s">
        <v>32</v>
      </c>
      <c r="AE11" s="19" t="s">
        <v>33</v>
      </c>
    </row>
    <row r="12" spans="1:32" x14ac:dyDescent="0.35">
      <c r="A12" s="15">
        <v>1</v>
      </c>
      <c r="B12" s="16">
        <v>1112.5</v>
      </c>
      <c r="C12" s="17">
        <v>2.06</v>
      </c>
      <c r="D12" s="16">
        <v>174.1</v>
      </c>
      <c r="F12">
        <v>175.62619364292624</v>
      </c>
      <c r="G12" s="15">
        <f t="shared" si="0"/>
        <v>-1.5261936429262448</v>
      </c>
      <c r="I12" s="2">
        <f t="array" ref="I12:K14">MMULT(TRANSPOSE(A4:C21),A6:C23*G4:G21*G6:G23)+MMULT(TRANSPOSE(A6:C23),A4:C21*G4:G21*G6:G23)</f>
        <v>-2475.4747342321712</v>
      </c>
      <c r="J12" s="3">
        <v>-2910945.4891800084</v>
      </c>
      <c r="K12" s="4">
        <v>-4449.8704448530571</v>
      </c>
      <c r="M12" t="s">
        <v>4</v>
      </c>
      <c r="N12" s="10">
        <f>N7+1</f>
        <v>2</v>
      </c>
      <c r="P12" s="2">
        <f t="array" ref="P12:R14">I12:K14*N14</f>
        <v>-1237.7373671160856</v>
      </c>
      <c r="Q12" s="3">
        <v>-1455472.7445900042</v>
      </c>
      <c r="R12" s="4">
        <v>-2224.9352224265285</v>
      </c>
      <c r="Y12" t="s">
        <v>34</v>
      </c>
      <c r="Z12">
        <f>COUNT(B4:C4)</f>
        <v>2</v>
      </c>
      <c r="AA12" t="e">
        <f ca="1">DEVSQ(MMULT(DEsign(B4:C23),Z17:Z19))</f>
        <v>#NAME?</v>
      </c>
      <c r="AB12" t="e">
        <f ca="1">AA12/Z12</f>
        <v>#NAME?</v>
      </c>
      <c r="AC12" t="e">
        <f ca="1">AB12/AB13</f>
        <v>#NAME?</v>
      </c>
      <c r="AD12" t="e">
        <f ca="1">FDIST(AC12,Z12,Z13)</f>
        <v>#NAME?</v>
      </c>
      <c r="AE12" s="15" t="e">
        <f ca="1">IF(AD12&lt;AD10,"yes","no")</f>
        <v>#NAME?</v>
      </c>
    </row>
    <row r="13" spans="1:32" x14ac:dyDescent="0.35">
      <c r="A13" s="15">
        <v>1</v>
      </c>
      <c r="B13" s="16">
        <v>1175.9000000000001</v>
      </c>
      <c r="C13" s="17">
        <v>2.44</v>
      </c>
      <c r="D13" s="16">
        <v>197.9</v>
      </c>
      <c r="F13">
        <v>186.13532721971757</v>
      </c>
      <c r="G13" s="15">
        <f t="shared" si="0"/>
        <v>11.764672780282439</v>
      </c>
      <c r="I13" s="5">
        <v>-2910945.4891800089</v>
      </c>
      <c r="J13">
        <v>-3449333375.8782225</v>
      </c>
      <c r="K13" s="6">
        <v>-4603058.0447748862</v>
      </c>
      <c r="M13" t="s">
        <v>11</v>
      </c>
      <c r="N13" s="13">
        <v>3</v>
      </c>
      <c r="P13" s="5">
        <v>-1455472.7445900044</v>
      </c>
      <c r="Q13">
        <v>-1724666687.9391112</v>
      </c>
      <c r="R13" s="6">
        <v>-2301529.0223874431</v>
      </c>
      <c r="Y13" t="s">
        <v>35</v>
      </c>
      <c r="Z13">
        <f>Z14-Z12</f>
        <v>17</v>
      </c>
      <c r="AA13" t="e">
        <f ca="1">AA14-AA12</f>
        <v>#NAME?</v>
      </c>
      <c r="AB13" t="e">
        <f ca="1">AA13/Z13</f>
        <v>#NAME?</v>
      </c>
    </row>
    <row r="14" spans="1:32" x14ac:dyDescent="0.35">
      <c r="A14" s="15">
        <v>1</v>
      </c>
      <c r="B14" s="16">
        <v>1244.0999999999999</v>
      </c>
      <c r="C14" s="17">
        <v>2.86</v>
      </c>
      <c r="D14" s="16">
        <v>217.6</v>
      </c>
      <c r="F14">
        <v>197.42462273870368</v>
      </c>
      <c r="G14" s="15">
        <f t="shared" si="0"/>
        <v>20.175377261296319</v>
      </c>
      <c r="I14" s="7">
        <v>-4449.8704448530571</v>
      </c>
      <c r="J14" s="8">
        <v>-4603058.0447748862</v>
      </c>
      <c r="K14" s="9">
        <v>-4097.2598786455374</v>
      </c>
      <c r="M14" t="s">
        <v>13</v>
      </c>
      <c r="N14" s="18">
        <f>1-N12/(N13+1)</f>
        <v>0.5</v>
      </c>
      <c r="P14" s="7">
        <v>-2224.9352224265285</v>
      </c>
      <c r="Q14" s="8">
        <v>-2301529.0223874431</v>
      </c>
      <c r="R14" s="9">
        <v>-2048.6299393227687</v>
      </c>
      <c r="Y14" s="8" t="s">
        <v>36</v>
      </c>
      <c r="Z14" s="8">
        <f>Z8-1</f>
        <v>19</v>
      </c>
      <c r="AA14" s="8">
        <f>DEVSQ(D4:D23)</f>
        <v>31060.649499999996</v>
      </c>
      <c r="AB14" s="8"/>
      <c r="AC14" s="8"/>
      <c r="AD14" s="8"/>
      <c r="AE14" s="8"/>
    </row>
    <row r="15" spans="1:32" ht="15" thickBot="1" x14ac:dyDescent="0.4">
      <c r="A15" s="15">
        <v>1</v>
      </c>
      <c r="B15" s="16">
        <v>1236.8</v>
      </c>
      <c r="C15" s="17">
        <v>1.1200000000000001</v>
      </c>
      <c r="D15" s="16">
        <v>198.3</v>
      </c>
      <c r="F15">
        <v>198.55305116766874</v>
      </c>
      <c r="G15" s="15">
        <f t="shared" si="0"/>
        <v>-0.2530511676687297</v>
      </c>
    </row>
    <row r="16" spans="1:32" ht="17" thickTop="1" x14ac:dyDescent="0.35">
      <c r="A16" s="15">
        <v>1</v>
      </c>
      <c r="B16" s="16">
        <v>1218.3</v>
      </c>
      <c r="C16" s="17">
        <v>0.36</v>
      </c>
      <c r="D16" s="16">
        <v>162.4</v>
      </c>
      <c r="F16">
        <v>196.38138806685936</v>
      </c>
      <c r="G16" s="15">
        <f t="shared" si="0"/>
        <v>-33.981388066859353</v>
      </c>
      <c r="I16" t="s">
        <v>37</v>
      </c>
      <c r="P16" t="s">
        <v>38</v>
      </c>
      <c r="T16" t="s">
        <v>39</v>
      </c>
      <c r="Y16" s="19"/>
      <c r="Z16" s="19" t="s">
        <v>40</v>
      </c>
      <c r="AA16" s="19" t="s">
        <v>41</v>
      </c>
      <c r="AB16" s="19" t="s">
        <v>42</v>
      </c>
      <c r="AC16" s="19" t="s">
        <v>32</v>
      </c>
      <c r="AD16" s="19" t="s">
        <v>43</v>
      </c>
      <c r="AE16" s="19" t="s">
        <v>44</v>
      </c>
      <c r="AF16" s="19" t="s">
        <v>45</v>
      </c>
    </row>
    <row r="17" spans="1:32" x14ac:dyDescent="0.35">
      <c r="A17" s="15">
        <v>1</v>
      </c>
      <c r="B17" s="16">
        <v>1288.5</v>
      </c>
      <c r="C17" s="17">
        <v>2.4</v>
      </c>
      <c r="D17" s="16">
        <v>194.8</v>
      </c>
      <c r="F17">
        <v>205.78537133288356</v>
      </c>
      <c r="G17" s="15">
        <f t="shared" si="0"/>
        <v>-10.985371332883545</v>
      </c>
      <c r="I17" s="2">
        <f t="array" ref="I17:K19">MMULT(TRANSPOSE(A4:C20),A7:C23*G4:G20*G7:G23)+MMULT(TRANSPOSE(A7:C23),A4:C20*G4:G20*G7:G23)</f>
        <v>-6059.4207591757113</v>
      </c>
      <c r="J17" s="3">
        <v>-7879805.2357502459</v>
      </c>
      <c r="K17" s="4">
        <v>-16210.681789570552</v>
      </c>
      <c r="M17" t="s">
        <v>4</v>
      </c>
      <c r="N17" s="10">
        <f>N12+1</f>
        <v>3</v>
      </c>
      <c r="P17" s="2">
        <f t="array" ref="P17:R19">I17:K19*N19</f>
        <v>-1514.8551897939278</v>
      </c>
      <c r="Q17" s="3">
        <v>-1969951.3089375615</v>
      </c>
      <c r="R17" s="4">
        <v>-4052.6704473926379</v>
      </c>
      <c r="T17" s="2" t="e">
        <f t="array" aca="1" ref="T17:V19" ca="1">CORE(B4:C23)</f>
        <v>#NAME?</v>
      </c>
      <c r="U17" s="3" t="e">
        <f ca="1"/>
        <v>#NAME?</v>
      </c>
      <c r="V17" s="4" t="e">
        <f ca="1"/>
        <v>#NAME?</v>
      </c>
      <c r="Y17" t="s">
        <v>46</v>
      </c>
      <c r="Z17" t="e">
        <f t="array" aca="1" ref="Z17:AA19" ca="1">RegCoeff(B4:C23,D4:D23)</f>
        <v>#NAME?</v>
      </c>
      <c r="AA17" t="e">
        <f ca="1"/>
        <v>#NAME?</v>
      </c>
      <c r="AB17" t="e">
        <f ca="1">Z17/AA17</f>
        <v>#NAME?</v>
      </c>
      <c r="AC17" t="e">
        <f ca="1">TDIST(ABS(AB17),$Z$13,2)</f>
        <v>#NAME?</v>
      </c>
      <c r="AD17" t="e">
        <f ca="1">Z17-TINV(AD$10,$Z$13)*AA17</f>
        <v>#NAME?</v>
      </c>
      <c r="AE17" t="e">
        <f ca="1">Z17+TINV(AD$10,$Z$13)*AA17</f>
        <v>#NAME?</v>
      </c>
    </row>
    <row r="18" spans="1:32" x14ac:dyDescent="0.35">
      <c r="A18" s="15">
        <v>1</v>
      </c>
      <c r="B18" s="16">
        <v>1359.6</v>
      </c>
      <c r="C18" s="17">
        <v>1.79</v>
      </c>
      <c r="D18" s="16">
        <v>221.1</v>
      </c>
      <c r="F18">
        <v>218.99930489830157</v>
      </c>
      <c r="G18" s="15">
        <f t="shared" si="0"/>
        <v>2.1006951016984203</v>
      </c>
      <c r="I18" s="5">
        <v>-7879805.2357502449</v>
      </c>
      <c r="J18">
        <v>-10351005351.271526</v>
      </c>
      <c r="K18" s="6">
        <v>-21203070.859408945</v>
      </c>
      <c r="M18" t="s">
        <v>11</v>
      </c>
      <c r="N18" s="13">
        <v>3</v>
      </c>
      <c r="P18" s="5">
        <v>-1969951.3089375612</v>
      </c>
      <c r="Q18">
        <v>-2587751337.8178816</v>
      </c>
      <c r="R18" s="6">
        <v>-5300767.7148522362</v>
      </c>
      <c r="T18" s="5" t="e">
        <f ca="1"/>
        <v>#NAME?</v>
      </c>
      <c r="U18" t="e">
        <f ca="1"/>
        <v>#NAME?</v>
      </c>
      <c r="V18" s="6" t="e">
        <f ca="1"/>
        <v>#NAME?</v>
      </c>
      <c r="Y18" t="str">
        <f t="array" ref="Y18:Y19">TRANSPOSE(B3:C3)</f>
        <v>GNP</v>
      </c>
      <c r="Z18" t="e">
        <f ca="1"/>
        <v>#NAME?</v>
      </c>
      <c r="AA18" t="e">
        <f ca="1"/>
        <v>#NAME?</v>
      </c>
      <c r="AB18" t="e">
        <f t="shared" ref="AB18:AB19" ca="1" si="1">Z18/AA18</f>
        <v>#NAME?</v>
      </c>
      <c r="AC18" t="e">
        <f t="shared" ref="AC18:AC19" ca="1" si="2">TDIST(ABS(AB18),$Z$13,2)</f>
        <v>#NAME?</v>
      </c>
      <c r="AD18" t="e">
        <f t="shared" ref="AD18:AD19" ca="1" si="3">Z18-TINV(AD$10,$Z$13)*AA18</f>
        <v>#NAME?</v>
      </c>
      <c r="AE18" t="e">
        <f t="shared" ref="AE18:AE19" ca="1" si="4">Z18+TINV(AD$10,$Z$13)*AA18</f>
        <v>#NAME?</v>
      </c>
      <c r="AF18" t="e">
        <f ca="1">VIF(B4:C23,1)</f>
        <v>#NAME?</v>
      </c>
    </row>
    <row r="19" spans="1:32" x14ac:dyDescent="0.35">
      <c r="A19" s="15">
        <v>1</v>
      </c>
      <c r="B19" s="16">
        <v>1428</v>
      </c>
      <c r="C19" s="17">
        <v>2.27</v>
      </c>
      <c r="D19" s="16">
        <v>257.39999999999998</v>
      </c>
      <c r="F19">
        <v>230.24068794397411</v>
      </c>
      <c r="G19" s="15">
        <f t="shared" si="0"/>
        <v>27.159312056025868</v>
      </c>
      <c r="I19" s="7">
        <v>-16210.68178957055</v>
      </c>
      <c r="J19" s="8">
        <v>-21203070.859408945</v>
      </c>
      <c r="K19" s="9">
        <v>-49992.338626080535</v>
      </c>
      <c r="M19" t="s">
        <v>13</v>
      </c>
      <c r="N19" s="18">
        <f>1-N17/(N18+1)</f>
        <v>0.25</v>
      </c>
      <c r="P19" s="7">
        <v>-4052.6704473926375</v>
      </c>
      <c r="Q19" s="8">
        <v>-5300767.7148522362</v>
      </c>
      <c r="R19" s="9">
        <v>-12498.084656520134</v>
      </c>
      <c r="T19" s="7" t="e">
        <f ca="1"/>
        <v>#NAME?</v>
      </c>
      <c r="U19" s="8" t="e">
        <f ca="1"/>
        <v>#NAME?</v>
      </c>
      <c r="V19" s="9" t="e">
        <f ca="1"/>
        <v>#NAME?</v>
      </c>
      <c r="Y19" s="8" t="str">
        <v>Interest</v>
      </c>
      <c r="Z19" s="8" t="e">
        <f ca="1"/>
        <v>#NAME?</v>
      </c>
      <c r="AA19" s="8" t="e">
        <f ca="1"/>
        <v>#NAME?</v>
      </c>
      <c r="AB19" s="8" t="e">
        <f t="shared" ca="1" si="1"/>
        <v>#NAME?</v>
      </c>
      <c r="AC19" s="8" t="e">
        <f t="shared" ca="1" si="2"/>
        <v>#NAME?</v>
      </c>
      <c r="AD19" s="8" t="e">
        <f t="shared" ca="1" si="3"/>
        <v>#NAME?</v>
      </c>
      <c r="AE19" s="8" t="e">
        <f t="shared" ca="1" si="4"/>
        <v>#NAME?</v>
      </c>
      <c r="AF19" s="8" t="e">
        <f ca="1">VIF(B4:C23,2)</f>
        <v>#NAME?</v>
      </c>
    </row>
    <row r="20" spans="1:32" ht="15" thickBot="1" x14ac:dyDescent="0.4">
      <c r="A20" s="15">
        <v>1</v>
      </c>
      <c r="B20" s="16">
        <v>1469.8</v>
      </c>
      <c r="C20" s="17">
        <v>3.73</v>
      </c>
      <c r="D20" s="16">
        <v>258.5</v>
      </c>
      <c r="F20">
        <v>235.50203760933928</v>
      </c>
      <c r="G20" s="15">
        <f t="shared" si="0"/>
        <v>22.997962390660717</v>
      </c>
    </row>
    <row r="21" spans="1:32" ht="15" thickTop="1" x14ac:dyDescent="0.35">
      <c r="A21" s="15">
        <v>1</v>
      </c>
      <c r="B21" s="16">
        <v>1465.8</v>
      </c>
      <c r="C21" s="17">
        <v>4.7300000000000004</v>
      </c>
      <c r="D21" s="16">
        <v>226.1</v>
      </c>
      <c r="F21">
        <v>233.42733360147764</v>
      </c>
      <c r="G21" s="15">
        <f t="shared" si="0"/>
        <v>-7.3273336014776476</v>
      </c>
      <c r="P21" t="s">
        <v>47</v>
      </c>
      <c r="T21" t="s">
        <v>48</v>
      </c>
      <c r="W21" s="15" t="s">
        <v>49</v>
      </c>
      <c r="Y21" s="19"/>
      <c r="Z21" s="19" t="s">
        <v>40</v>
      </c>
      <c r="AA21" s="19" t="s">
        <v>41</v>
      </c>
      <c r="AC21" s="19" t="s">
        <v>40</v>
      </c>
      <c r="AD21" s="19" t="s">
        <v>41</v>
      </c>
    </row>
    <row r="22" spans="1:32" x14ac:dyDescent="0.35">
      <c r="A22" s="15">
        <v>1</v>
      </c>
      <c r="B22" s="16">
        <v>1502</v>
      </c>
      <c r="C22" s="17">
        <v>4.1099999999999994</v>
      </c>
      <c r="D22" s="16">
        <v>242.1</v>
      </c>
      <c r="F22">
        <v>240.58167860583032</v>
      </c>
      <c r="G22" s="15">
        <f t="shared" si="0"/>
        <v>1.5183213941696749</v>
      </c>
      <c r="M22" t="s">
        <v>50</v>
      </c>
      <c r="N22" s="10">
        <f>COUNT(A4:A23)</f>
        <v>20</v>
      </c>
      <c r="P22" s="2">
        <f t="array" ref="P22:R24">N24*(P2:R4+P7:R9+P12:R14+P17:R19)</f>
        <v>4915.1920017103957</v>
      </c>
      <c r="Q22" s="3">
        <v>6469633.3237792403</v>
      </c>
      <c r="R22" s="4">
        <v>15245.639364411441</v>
      </c>
      <c r="T22" s="2" t="e">
        <f t="array" aca="1" ref="T22:V24" ca="1">MPROD(T17:V19,P22:R24,T17:V19)</f>
        <v>#NAME?</v>
      </c>
      <c r="U22" s="3" t="e">
        <f ca="1"/>
        <v>#NAME?</v>
      </c>
      <c r="V22" s="4" t="e">
        <f ca="1"/>
        <v>#NAME?</v>
      </c>
      <c r="W22" s="10" t="e">
        <f t="array" aca="1" ref="W22:W24" ca="1">SQRT(DIAG(T22:V24))</f>
        <v>#NAME?</v>
      </c>
      <c r="Y22" t="s">
        <v>46</v>
      </c>
      <c r="Z22" t="e">
        <f t="array" aca="1" ref="Z22:AA24" ca="1">RegCoeff(B4:C23,D4:D23)</f>
        <v>#NAME?</v>
      </c>
      <c r="AA22" t="e">
        <f ca="1"/>
        <v>#NAME?</v>
      </c>
      <c r="AC22" t="e">
        <f t="array" aca="1" ref="AC22:AD24" ca="1">HACCoeff(B4:C23,D4:D23,3)</f>
        <v>#NAME?</v>
      </c>
      <c r="AD22" t="e">
        <f ca="1"/>
        <v>#NAME?</v>
      </c>
    </row>
    <row r="23" spans="1:32" x14ac:dyDescent="0.35">
      <c r="A23" s="20">
        <v>1</v>
      </c>
      <c r="B23" s="21">
        <v>1475.5</v>
      </c>
      <c r="C23" s="22">
        <v>5.1099999999999994</v>
      </c>
      <c r="D23" s="21">
        <v>200.4</v>
      </c>
      <c r="F23" s="8">
        <v>234.59147514102128</v>
      </c>
      <c r="G23" s="20">
        <f t="shared" si="0"/>
        <v>-34.191475141021272</v>
      </c>
      <c r="M23" t="s">
        <v>51</v>
      </c>
      <c r="N23" s="13">
        <f>COUNTA(A3:C3)</f>
        <v>3</v>
      </c>
      <c r="P23" s="5">
        <v>6469633.3237792403</v>
      </c>
      <c r="Q23">
        <v>8713918363.7249126</v>
      </c>
      <c r="R23" s="6">
        <v>20525726.134447869</v>
      </c>
      <c r="T23" s="5" t="e">
        <f ca="1"/>
        <v>#NAME?</v>
      </c>
      <c r="U23" t="e">
        <f ca="1"/>
        <v>#NAME?</v>
      </c>
      <c r="V23" s="6" t="e">
        <f ca="1"/>
        <v>#NAME?</v>
      </c>
      <c r="W23" s="13" t="e">
        <f ca="1"/>
        <v>#NAME?</v>
      </c>
      <c r="Y23" t="s">
        <v>6</v>
      </c>
      <c r="Z23" t="e">
        <f ca="1"/>
        <v>#NAME?</v>
      </c>
      <c r="AA23" t="e">
        <f ca="1"/>
        <v>#NAME?</v>
      </c>
      <c r="AC23" t="e">
        <f ca="1"/>
        <v>#NAME?</v>
      </c>
      <c r="AD23" t="e">
        <f ca="1"/>
        <v>#NAME?</v>
      </c>
    </row>
    <row r="24" spans="1:32" x14ac:dyDescent="0.35">
      <c r="M24" t="s">
        <v>13</v>
      </c>
      <c r="N24" s="18">
        <f>N22/(N22-N23)</f>
        <v>1.1764705882352942</v>
      </c>
      <c r="P24" s="7">
        <v>15245.639364411443</v>
      </c>
      <c r="Q24" s="8">
        <v>20525726.134447869</v>
      </c>
      <c r="R24" s="9">
        <v>63168.776413534208</v>
      </c>
      <c r="T24" s="7" t="e">
        <f ca="1"/>
        <v>#NAME?</v>
      </c>
      <c r="U24" s="8" t="e">
        <f ca="1"/>
        <v>#NAME?</v>
      </c>
      <c r="V24" s="9" t="e">
        <f ca="1"/>
        <v>#NAME?</v>
      </c>
      <c r="W24" s="18" t="e">
        <f ca="1"/>
        <v>#NAME?</v>
      </c>
      <c r="Y24" s="8" t="s">
        <v>7</v>
      </c>
      <c r="Z24" s="8" t="e">
        <f ca="1"/>
        <v>#NAME?</v>
      </c>
      <c r="AA24" s="8" t="e">
        <f ca="1"/>
        <v>#NAME?</v>
      </c>
      <c r="AC24" s="8" t="e">
        <f ca="1"/>
        <v>#NAME?</v>
      </c>
      <c r="AD24" s="8" t="e">
        <f ca="1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44F6-0749-41B9-BFA5-9D97531DD5C5}">
  <dimension ref="A1:P24"/>
  <sheetViews>
    <sheetView workbookViewId="0"/>
  </sheetViews>
  <sheetFormatPr defaultRowHeight="14.5" x14ac:dyDescent="0.35"/>
  <cols>
    <col min="8" max="8" width="6.26953125" customWidth="1"/>
    <col min="9" max="9" width="13.54296875" customWidth="1"/>
  </cols>
  <sheetData>
    <row r="1" spans="1:16" x14ac:dyDescent="0.35">
      <c r="A1" s="1" t="s">
        <v>0</v>
      </c>
      <c r="F1" t="s">
        <v>52</v>
      </c>
      <c r="I1" t="s">
        <v>3</v>
      </c>
    </row>
    <row r="3" spans="1:16" ht="15" thickBot="1" x14ac:dyDescent="0.4">
      <c r="A3" s="11" t="s">
        <v>5</v>
      </c>
      <c r="B3" s="11" t="s">
        <v>6</v>
      </c>
      <c r="C3" s="11" t="s">
        <v>7</v>
      </c>
      <c r="D3" s="11" t="s">
        <v>8</v>
      </c>
      <c r="F3" t="s">
        <v>53</v>
      </c>
      <c r="G3" s="23">
        <v>3</v>
      </c>
      <c r="I3" s="14" t="s">
        <v>12</v>
      </c>
      <c r="J3" s="14"/>
      <c r="L3" s="14"/>
      <c r="M3" s="14"/>
    </row>
    <row r="4" spans="1:16" ht="15" thickTop="1" x14ac:dyDescent="0.35">
      <c r="A4" s="15">
        <v>1</v>
      </c>
      <c r="B4" s="16">
        <v>860.8</v>
      </c>
      <c r="C4" s="17">
        <v>4.62</v>
      </c>
      <c r="D4" s="16">
        <v>112.2</v>
      </c>
      <c r="F4" t="s">
        <v>54</v>
      </c>
      <c r="G4" s="24" t="e">
        <f ca="1">BGSTAT(B4:C23,D4:D23,G3,FALSE)</f>
        <v>#NAME?</v>
      </c>
      <c r="I4" t="s">
        <v>14</v>
      </c>
      <c r="J4" t="e">
        <f ca="1">SQRT(J5)</f>
        <v>#NAME?</v>
      </c>
      <c r="L4" t="s">
        <v>15</v>
      </c>
      <c r="M4" t="e">
        <f ca="1">J8*LN(K13/J8)+2*(J12+1)</f>
        <v>#NAME?</v>
      </c>
    </row>
    <row r="5" spans="1:16" x14ac:dyDescent="0.35">
      <c r="A5" s="15">
        <v>1</v>
      </c>
      <c r="B5" s="16">
        <v>866.9</v>
      </c>
      <c r="C5" s="17">
        <v>4.0999999999999996</v>
      </c>
      <c r="D5" s="16">
        <v>132.4</v>
      </c>
      <c r="F5" t="s">
        <v>55</v>
      </c>
      <c r="G5" s="24">
        <f>G3</f>
        <v>3</v>
      </c>
      <c r="I5" t="s">
        <v>16</v>
      </c>
      <c r="J5" t="e">
        <f ca="1">K12/K14</f>
        <v>#NAME?</v>
      </c>
      <c r="L5" t="s">
        <v>17</v>
      </c>
      <c r="M5" t="e">
        <f ca="1">M4+2*(J12+2)*(J12+3)/(J8-J12-3)</f>
        <v>#NAME?</v>
      </c>
    </row>
    <row r="6" spans="1:16" x14ac:dyDescent="0.35">
      <c r="A6" s="15">
        <v>1</v>
      </c>
      <c r="B6" s="16">
        <v>919.2</v>
      </c>
      <c r="C6" s="17">
        <v>4.04</v>
      </c>
      <c r="D6" s="16">
        <v>153.4</v>
      </c>
      <c r="F6" t="s">
        <v>56</v>
      </c>
      <c r="G6" s="24">
        <f>COUNT(B4:B23)-G3-COUNT(B4:C4)-1</f>
        <v>14</v>
      </c>
      <c r="I6" t="s">
        <v>20</v>
      </c>
      <c r="J6" t="e">
        <f ca="1">1-(1-J5)*(J8-1)/(J8-J12-1)</f>
        <v>#NAME?</v>
      </c>
      <c r="L6" s="8" t="s">
        <v>21</v>
      </c>
      <c r="M6" s="8" t="e">
        <f ca="1">J8*LN(K13/J8)+(J12+1)*LN(J8)</f>
        <v>#NAME?</v>
      </c>
    </row>
    <row r="7" spans="1:16" x14ac:dyDescent="0.35">
      <c r="A7" s="15">
        <v>1</v>
      </c>
      <c r="B7" s="16">
        <v>974.6</v>
      </c>
      <c r="C7" s="17">
        <v>3.42</v>
      </c>
      <c r="D7" s="16">
        <v>162.30000000000001</v>
      </c>
      <c r="F7" t="s">
        <v>32</v>
      </c>
      <c r="G7" s="25" t="e">
        <f ca="1">_xlfn.F.DIST.RT(G4,G5,G6)</f>
        <v>#NAME?</v>
      </c>
      <c r="I7" t="s">
        <v>22</v>
      </c>
      <c r="J7" t="e">
        <f ca="1">SQRT(L13)</f>
        <v>#NAME?</v>
      </c>
    </row>
    <row r="8" spans="1:16" x14ac:dyDescent="0.35">
      <c r="A8" s="15">
        <v>1</v>
      </c>
      <c r="B8" s="16">
        <v>1001.2</v>
      </c>
      <c r="C8" s="17">
        <v>3.3499999999999996</v>
      </c>
      <c r="D8" s="16">
        <v>156.5</v>
      </c>
      <c r="I8" s="8" t="s">
        <v>23</v>
      </c>
      <c r="J8" s="8">
        <f>COUNT(D4:D23)</f>
        <v>20</v>
      </c>
    </row>
    <row r="9" spans="1:16" x14ac:dyDescent="0.35">
      <c r="A9" s="15">
        <v>1</v>
      </c>
      <c r="B9" s="16">
        <v>1048.5</v>
      </c>
      <c r="C9" s="17">
        <v>2.9899999999999998</v>
      </c>
      <c r="D9" s="16">
        <v>162.69999999999999</v>
      </c>
      <c r="F9" t="s">
        <v>57</v>
      </c>
      <c r="G9" s="23" t="e">
        <f ca="1">BGSTAT(B4:C23,D4:D23,G3,TRUE)</f>
        <v>#NAME?</v>
      </c>
    </row>
    <row r="10" spans="1:16" ht="15" thickBot="1" x14ac:dyDescent="0.4">
      <c r="A10" s="15">
        <v>1</v>
      </c>
      <c r="B10" s="16">
        <v>1077</v>
      </c>
      <c r="C10" s="17">
        <v>2.8099999999999996</v>
      </c>
      <c r="D10" s="16">
        <v>166.2</v>
      </c>
      <c r="F10" t="s">
        <v>32</v>
      </c>
      <c r="G10" s="25" t="e">
        <f ca="1">_xlfn.CHISQ.DIST.RT(G9,G5)</f>
        <v>#NAME?</v>
      </c>
      <c r="I10" t="s">
        <v>24</v>
      </c>
      <c r="M10" s="15" t="s">
        <v>25</v>
      </c>
      <c r="N10" s="15">
        <v>0.05</v>
      </c>
    </row>
    <row r="11" spans="1:16" ht="15" thickTop="1" x14ac:dyDescent="0.35">
      <c r="A11" s="15">
        <v>1</v>
      </c>
      <c r="B11" s="16">
        <v>1075.2</v>
      </c>
      <c r="C11" s="17">
        <v>2.7600000000000002</v>
      </c>
      <c r="D11" s="16">
        <v>158.5</v>
      </c>
      <c r="I11" s="19"/>
      <c r="J11" s="19" t="s">
        <v>28</v>
      </c>
      <c r="K11" s="19" t="s">
        <v>29</v>
      </c>
      <c r="L11" s="19" t="s">
        <v>30</v>
      </c>
      <c r="M11" s="19" t="s">
        <v>31</v>
      </c>
      <c r="N11" s="19" t="s">
        <v>32</v>
      </c>
      <c r="O11" s="19" t="s">
        <v>33</v>
      </c>
    </row>
    <row r="12" spans="1:16" x14ac:dyDescent="0.35">
      <c r="A12" s="15">
        <v>1</v>
      </c>
      <c r="B12" s="16">
        <v>1112.5</v>
      </c>
      <c r="C12" s="17">
        <v>2.06</v>
      </c>
      <c r="D12" s="16">
        <v>174.1</v>
      </c>
      <c r="I12" t="s">
        <v>34</v>
      </c>
      <c r="J12">
        <f>COUNT(B4:C4)</f>
        <v>2</v>
      </c>
      <c r="K12" t="e">
        <f ca="1">DEVSQ(MMULT(DEsign(B4:C23),J17:J19))</f>
        <v>#NAME?</v>
      </c>
      <c r="L12" t="e">
        <f ca="1">K12/J12</f>
        <v>#NAME?</v>
      </c>
      <c r="M12" t="e">
        <f ca="1">L12/L13</f>
        <v>#NAME?</v>
      </c>
      <c r="N12" t="e">
        <f ca="1">_xlfn.F.DIST.RT(M12,J12,J13)</f>
        <v>#NAME?</v>
      </c>
      <c r="O12" s="15" t="e">
        <f ca="1">IF(N12&lt;N10,"yes","no")</f>
        <v>#NAME?</v>
      </c>
    </row>
    <row r="13" spans="1:16" x14ac:dyDescent="0.35">
      <c r="A13" s="15">
        <v>1</v>
      </c>
      <c r="B13" s="16">
        <v>1175.9000000000001</v>
      </c>
      <c r="C13" s="17">
        <v>2.44</v>
      </c>
      <c r="D13" s="16">
        <v>197.9</v>
      </c>
      <c r="I13" t="s">
        <v>35</v>
      </c>
      <c r="J13">
        <f>J14-J12</f>
        <v>17</v>
      </c>
      <c r="K13" t="e">
        <f ca="1">K14-K12</f>
        <v>#NAME?</v>
      </c>
      <c r="L13" t="e">
        <f ca="1">K13/J13</f>
        <v>#NAME?</v>
      </c>
    </row>
    <row r="14" spans="1:16" x14ac:dyDescent="0.35">
      <c r="A14" s="15">
        <v>1</v>
      </c>
      <c r="B14" s="16">
        <v>1244.0999999999999</v>
      </c>
      <c r="C14" s="17">
        <v>2.86</v>
      </c>
      <c r="D14" s="16">
        <v>217.6</v>
      </c>
      <c r="I14" s="8" t="s">
        <v>36</v>
      </c>
      <c r="J14" s="8">
        <f>J8-1</f>
        <v>19</v>
      </c>
      <c r="K14" s="8">
        <f>DEVSQ(D4:D23)</f>
        <v>31060.649499999996</v>
      </c>
      <c r="L14" s="8"/>
      <c r="M14" s="8"/>
      <c r="N14" s="8"/>
      <c r="O14" s="8"/>
    </row>
    <row r="15" spans="1:16" ht="15" thickBot="1" x14ac:dyDescent="0.4">
      <c r="A15" s="15">
        <v>1</v>
      </c>
      <c r="B15" s="16">
        <v>1236.8</v>
      </c>
      <c r="C15" s="17">
        <v>1.1200000000000001</v>
      </c>
      <c r="D15" s="16">
        <v>198.3</v>
      </c>
    </row>
    <row r="16" spans="1:16" ht="15" thickTop="1" x14ac:dyDescent="0.35">
      <c r="A16" s="15">
        <v>1</v>
      </c>
      <c r="B16" s="16">
        <v>1218.3</v>
      </c>
      <c r="C16" s="17">
        <v>0.36</v>
      </c>
      <c r="D16" s="16">
        <v>162.4</v>
      </c>
      <c r="I16" s="19" t="s">
        <v>58</v>
      </c>
      <c r="J16" s="19" t="s">
        <v>40</v>
      </c>
      <c r="K16" s="19" t="s">
        <v>41</v>
      </c>
      <c r="L16" s="19" t="s">
        <v>42</v>
      </c>
      <c r="M16" s="19" t="s">
        <v>32</v>
      </c>
      <c r="N16" s="19" t="s">
        <v>43</v>
      </c>
      <c r="O16" s="19" t="s">
        <v>44</v>
      </c>
      <c r="P16" s="19" t="s">
        <v>45</v>
      </c>
    </row>
    <row r="17" spans="1:16" x14ac:dyDescent="0.35">
      <c r="A17" s="15">
        <v>1</v>
      </c>
      <c r="B17" s="16">
        <v>1288.5</v>
      </c>
      <c r="C17" s="17">
        <v>2.4</v>
      </c>
      <c r="D17" s="16">
        <v>194.8</v>
      </c>
      <c r="I17" t="s">
        <v>46</v>
      </c>
      <c r="J17" t="e">
        <f t="array" aca="1" ref="J17:K19" ca="1">RegCoeff(B4:C23,D4:D23)</f>
        <v>#NAME?</v>
      </c>
      <c r="K17" t="e">
        <f ca="1"/>
        <v>#NAME?</v>
      </c>
      <c r="L17" t="e">
        <f ca="1">J17/K17</f>
        <v>#NAME?</v>
      </c>
      <c r="M17" t="e">
        <f ca="1">_xlfn.T.DIST.2T(ABS(L17),$J$13)</f>
        <v>#NAME?</v>
      </c>
      <c r="N17" t="e">
        <f ca="1">J17-_xlfn.T.INV.2T(N$10,$J$13)*K17</f>
        <v>#NAME?</v>
      </c>
      <c r="O17" t="e">
        <f ca="1">J17+_xlfn.T.INV.2T(N$10,$J$13)*K17</f>
        <v>#NAME?</v>
      </c>
    </row>
    <row r="18" spans="1:16" x14ac:dyDescent="0.35">
      <c r="A18" s="15">
        <v>1</v>
      </c>
      <c r="B18" s="16">
        <v>1359.6</v>
      </c>
      <c r="C18" s="17">
        <v>1.79</v>
      </c>
      <c r="D18" s="16">
        <v>221.1</v>
      </c>
      <c r="I18" t="str">
        <f t="array" ref="I18:I19">TRANSPOSE(B3:C3)</f>
        <v>GNP</v>
      </c>
      <c r="J18" t="e">
        <f ca="1"/>
        <v>#NAME?</v>
      </c>
      <c r="K18" t="e">
        <f ca="1"/>
        <v>#NAME?</v>
      </c>
      <c r="L18" t="e">
        <f t="shared" ref="L18:L19" ca="1" si="0">J18/K18</f>
        <v>#NAME?</v>
      </c>
      <c r="M18" t="e">
        <f t="shared" ref="M18:M19" ca="1" si="1">_xlfn.T.DIST.2T(ABS(L18),$J$13)</f>
        <v>#NAME?</v>
      </c>
      <c r="N18" t="e">
        <f t="shared" ref="N18:N19" ca="1" si="2">J18-_xlfn.T.INV.2T(N$10,$J$13)*K18</f>
        <v>#NAME?</v>
      </c>
      <c r="O18" t="e">
        <f t="shared" ref="O18:O19" ca="1" si="3">J18+_xlfn.T.INV.2T(N$10,$J$13)*K18</f>
        <v>#NAME?</v>
      </c>
      <c r="P18" t="e">
        <f ca="1">VIF(B4:C23,1)</f>
        <v>#NAME?</v>
      </c>
    </row>
    <row r="19" spans="1:16" x14ac:dyDescent="0.35">
      <c r="A19" s="15">
        <v>1</v>
      </c>
      <c r="B19" s="16">
        <v>1428</v>
      </c>
      <c r="C19" s="17">
        <v>2.27</v>
      </c>
      <c r="D19" s="16">
        <v>257.39999999999998</v>
      </c>
      <c r="I19" s="8" t="str">
        <v>Interest</v>
      </c>
      <c r="J19" s="8" t="e">
        <f ca="1"/>
        <v>#NAME?</v>
      </c>
      <c r="K19" s="8" t="e">
        <f ca="1"/>
        <v>#NAME?</v>
      </c>
      <c r="L19" s="8" t="e">
        <f t="shared" ca="1" si="0"/>
        <v>#NAME?</v>
      </c>
      <c r="M19" s="8" t="e">
        <f t="shared" ca="1" si="1"/>
        <v>#NAME?</v>
      </c>
      <c r="N19" s="8" t="e">
        <f t="shared" ca="1" si="2"/>
        <v>#NAME?</v>
      </c>
      <c r="O19" s="8" t="e">
        <f t="shared" ca="1" si="3"/>
        <v>#NAME?</v>
      </c>
      <c r="P19" s="8" t="e">
        <f ca="1">VIF(B4:C23,2)</f>
        <v>#NAME?</v>
      </c>
    </row>
    <row r="20" spans="1:16" ht="15" thickBot="1" x14ac:dyDescent="0.4">
      <c r="A20" s="15">
        <v>1</v>
      </c>
      <c r="B20" s="16">
        <v>1469.8</v>
      </c>
      <c r="C20" s="17">
        <v>3.73</v>
      </c>
      <c r="D20" s="16">
        <v>258.5</v>
      </c>
    </row>
    <row r="21" spans="1:16" ht="15" thickTop="1" x14ac:dyDescent="0.35">
      <c r="A21" s="15">
        <v>1</v>
      </c>
      <c r="B21" s="16">
        <v>1465.8</v>
      </c>
      <c r="C21" s="17">
        <v>4.7300000000000004</v>
      </c>
      <c r="D21" s="16">
        <v>226.1</v>
      </c>
      <c r="I21" s="19" t="s">
        <v>59</v>
      </c>
      <c r="J21" s="19" t="s">
        <v>40</v>
      </c>
      <c r="K21" s="19" t="s">
        <v>41</v>
      </c>
      <c r="L21" s="19" t="s">
        <v>42</v>
      </c>
      <c r="M21" s="19" t="s">
        <v>32</v>
      </c>
    </row>
    <row r="22" spans="1:16" x14ac:dyDescent="0.35">
      <c r="A22" s="15">
        <v>1</v>
      </c>
      <c r="B22" s="16">
        <v>1502</v>
      </c>
      <c r="C22" s="17">
        <v>4.1099999999999994</v>
      </c>
      <c r="D22" s="16">
        <v>242.1</v>
      </c>
      <c r="I22" t="s">
        <v>46</v>
      </c>
      <c r="J22" t="e">
        <f t="array" aca="1" ref="J22:K24" ca="1">HACCoeff(B4:C23,D4:D23,G3)</f>
        <v>#NAME?</v>
      </c>
      <c r="K22" t="e">
        <f ca="1"/>
        <v>#NAME?</v>
      </c>
      <c r="L22" t="e">
        <f ca="1">J22/K22</f>
        <v>#NAME?</v>
      </c>
      <c r="M22" t="e">
        <f ca="1">_xlfn.T.DIST.2T(ABS(L22),$J$13)</f>
        <v>#NAME?</v>
      </c>
    </row>
    <row r="23" spans="1:16" x14ac:dyDescent="0.35">
      <c r="A23" s="20">
        <v>1</v>
      </c>
      <c r="B23" s="21">
        <v>1475.5</v>
      </c>
      <c r="C23" s="22">
        <v>5.1099999999999994</v>
      </c>
      <c r="D23" s="21">
        <v>200.4</v>
      </c>
      <c r="I23" t="str">
        <f t="array" ref="I23:I24">I18:I19</f>
        <v>GNP</v>
      </c>
      <c r="J23" t="e">
        <f ca="1"/>
        <v>#NAME?</v>
      </c>
      <c r="K23" t="e">
        <f ca="1"/>
        <v>#NAME?</v>
      </c>
      <c r="L23" t="e">
        <f t="shared" ref="L23:L24" ca="1" si="4">J23/K23</f>
        <v>#NAME?</v>
      </c>
      <c r="M23" t="e">
        <f t="shared" ref="M23:M24" ca="1" si="5">_xlfn.T.DIST.2T(ABS(L23),$J$13)</f>
        <v>#NAME?</v>
      </c>
    </row>
    <row r="24" spans="1:16" x14ac:dyDescent="0.35">
      <c r="I24" s="8" t="str">
        <v>Interest</v>
      </c>
      <c r="J24" s="8" t="e">
        <f ca="1"/>
        <v>#NAME?</v>
      </c>
      <c r="K24" s="8" t="e">
        <f ca="1"/>
        <v>#NAME?</v>
      </c>
      <c r="L24" s="8" t="e">
        <f t="shared" ca="1" si="4"/>
        <v>#NAME?</v>
      </c>
      <c r="M24" s="8" t="e">
        <f t="shared" ca="1" si="5"/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Newey 1</vt:lpstr>
      <vt:lpstr>Newey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2025-10-16T17:52:13Z</dcterms:created>
  <dcterms:modified xsi:type="dcterms:W3CDTF">2025-10-16T17:55:18Z</dcterms:modified>
</cp:coreProperties>
</file>