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B7985CBE-686B-4F0C-826A-4F8B6949C2DE}" xr6:coauthVersionLast="47" xr6:coauthVersionMax="47" xr10:uidLastSave="{00000000-0000-0000-0000-000000000000}"/>
  <bookViews>
    <workbookView xWindow="-110" yWindow="-110" windowWidth="19420" windowHeight="10300" xr2:uid="{B9B3D600-6746-4C77-BF04-7B8E982D6C9E}"/>
  </bookViews>
  <sheets>
    <sheet name="Title" sheetId="2" r:id="rId1"/>
    <sheet name="Log Reg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" l="1" a="1"/>
  <c r="J53" i="1" s="1"/>
  <c r="J58" i="1" s="1"/>
  <c r="AA44" i="1"/>
  <c r="J21" i="1" a="1"/>
  <c r="K23" i="1" s="1"/>
  <c r="I53" i="1"/>
  <c r="I52" i="1" a="1"/>
  <c r="I52" i="1" s="1"/>
  <c r="K51" i="1" a="1"/>
  <c r="K51" i="1" s="1"/>
  <c r="G46" i="1"/>
  <c r="F46" i="1"/>
  <c r="E46" i="1"/>
  <c r="G45" i="1"/>
  <c r="F45" i="1"/>
  <c r="E45" i="1"/>
  <c r="Y44" i="1" a="1"/>
  <c r="Y45" i="1" s="1"/>
  <c r="G44" i="1"/>
  <c r="F44" i="1"/>
  <c r="E44" i="1"/>
  <c r="G43" i="1"/>
  <c r="F43" i="1"/>
  <c r="E43" i="1"/>
  <c r="G42" i="1"/>
  <c r="F42" i="1"/>
  <c r="E42" i="1"/>
  <c r="G41" i="1"/>
  <c r="F41" i="1"/>
  <c r="E41" i="1"/>
  <c r="G40" i="1"/>
  <c r="F40" i="1"/>
  <c r="E40" i="1"/>
  <c r="G39" i="1"/>
  <c r="F39" i="1"/>
  <c r="E39" i="1"/>
  <c r="G38" i="1"/>
  <c r="F38" i="1"/>
  <c r="E38" i="1"/>
  <c r="G37" i="1"/>
  <c r="F37" i="1"/>
  <c r="E37" i="1"/>
  <c r="G36" i="1"/>
  <c r="K48" i="1" s="1"/>
  <c r="F36" i="1"/>
  <c r="E36" i="1"/>
  <c r="J46" i="1" s="1"/>
  <c r="I26" i="1"/>
  <c r="I23" i="1"/>
  <c r="I28" i="1" s="1"/>
  <c r="I22" i="1" a="1"/>
  <c r="I22" i="1" s="1"/>
  <c r="I27" i="1" s="1"/>
  <c r="Y21" i="1"/>
  <c r="Y20" i="1"/>
  <c r="Y20" i="1" a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Y8" i="1" a="1"/>
  <c r="Y8" i="1" s="1"/>
  <c r="G8" i="1"/>
  <c r="F8" i="1"/>
  <c r="E8" i="1"/>
  <c r="R10" i="1"/>
  <c r="T9" i="1"/>
  <c r="S9" i="1"/>
  <c r="R7" i="1" a="1"/>
  <c r="R9" i="1" s="1"/>
  <c r="G7" i="1"/>
  <c r="F7" i="1"/>
  <c r="E7" i="1"/>
  <c r="G6" i="1"/>
  <c r="K18" i="1" s="1"/>
  <c r="F6" i="1"/>
  <c r="E6" i="1"/>
  <c r="J16" i="1" s="1"/>
  <c r="K22" i="1" l="1"/>
  <c r="J23" i="1"/>
  <c r="J28" i="1" s="1"/>
  <c r="J21" i="1"/>
  <c r="J26" i="1" s="1"/>
  <c r="K21" i="1"/>
  <c r="J22" i="1"/>
  <c r="J51" i="1"/>
  <c r="K46" i="1" s="1"/>
  <c r="L46" i="1" s="1"/>
  <c r="K16" i="1"/>
  <c r="K17" i="1" s="1"/>
  <c r="J52" i="1"/>
  <c r="J57" i="1" s="1"/>
  <c r="O23" i="1"/>
  <c r="S10" i="1"/>
  <c r="R7" i="1"/>
  <c r="R11" i="1"/>
  <c r="K53" i="1"/>
  <c r="L53" i="1" s="1"/>
  <c r="S7" i="1"/>
  <c r="S11" i="1"/>
  <c r="J12" i="1"/>
  <c r="J18" i="1" s="1"/>
  <c r="J17" i="1" s="1"/>
  <c r="J42" i="1"/>
  <c r="J48" i="1" s="1"/>
  <c r="J47" i="1" s="1"/>
  <c r="O53" i="1" s="1"/>
  <c r="Y9" i="1"/>
  <c r="K52" i="1"/>
  <c r="L52" i="1" s="1"/>
  <c r="M52" i="1" s="1"/>
  <c r="T7" i="1"/>
  <c r="R8" i="1"/>
  <c r="Y44" i="1"/>
  <c r="S8" i="1"/>
  <c r="T8" i="1"/>
  <c r="T10" i="1"/>
  <c r="T11" i="1"/>
  <c r="L21" i="1" l="1"/>
  <c r="M21" i="1" s="1"/>
  <c r="O21" i="1"/>
  <c r="L23" i="1"/>
  <c r="J56" i="1"/>
  <c r="Y39" i="1" s="1"/>
  <c r="J27" i="1"/>
  <c r="L22" i="1"/>
  <c r="N22" i="1"/>
  <c r="L51" i="1"/>
  <c r="M51" i="1" s="1"/>
  <c r="N52" i="1"/>
  <c r="J39" i="1"/>
  <c r="J38" i="1" s="1"/>
  <c r="K47" i="1"/>
  <c r="L47" i="1" s="1"/>
  <c r="N21" i="1"/>
  <c r="M22" i="1"/>
  <c r="O22" i="1"/>
  <c r="N53" i="1"/>
  <c r="M53" i="1"/>
  <c r="L17" i="1"/>
  <c r="J11" i="1" s="1"/>
  <c r="N23" i="1"/>
  <c r="L16" i="1"/>
  <c r="J9" i="1"/>
  <c r="N51" i="1"/>
  <c r="J40" i="1"/>
  <c r="O52" i="1"/>
  <c r="M23" i="1"/>
  <c r="O51" i="1"/>
  <c r="Y14" i="1"/>
  <c r="Y15" i="1"/>
  <c r="Y38" i="1"/>
  <c r="M16" i="1" l="1"/>
  <c r="N16" i="1" s="1"/>
  <c r="O16" i="1" s="1"/>
  <c r="J41" i="1"/>
  <c r="M46" i="1"/>
  <c r="N46" i="1" s="1"/>
  <c r="O46" i="1" s="1"/>
  <c r="J8" i="1"/>
  <c r="J10" i="1"/>
</calcChain>
</file>

<file path=xl/sharedStrings.xml><?xml version="1.0" encoding="utf-8"?>
<sst xmlns="http://schemas.openxmlformats.org/spreadsheetml/2006/main" count="111" uniqueCount="58">
  <si>
    <t>Multiple Regression with Log Transformations</t>
  </si>
  <si>
    <t>Log-level transformation</t>
  </si>
  <si>
    <t>Color</t>
  </si>
  <si>
    <t>Quality</t>
  </si>
  <si>
    <t>Price</t>
  </si>
  <si>
    <t>Ln Price</t>
  </si>
  <si>
    <t>Regression Analysis</t>
  </si>
  <si>
    <t>Use of LOGEST</t>
  </si>
  <si>
    <t>Use of GROWTH</t>
  </si>
  <si>
    <t>OVERALL FIT</t>
  </si>
  <si>
    <t>Slope: Exp(b)</t>
  </si>
  <si>
    <t>Intercept: Exp(a)</t>
  </si>
  <si>
    <t>Multiple R</t>
  </si>
  <si>
    <t>S.E. of slope</t>
  </si>
  <si>
    <r>
      <t>S.E. of intercept (s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</t>
    </r>
  </si>
  <si>
    <t>=GROWTH(C6:C16,A6:B16,W8:X9)</t>
  </si>
  <si>
    <t>R Square</t>
  </si>
  <si>
    <t>R-Squared</t>
  </si>
  <si>
    <r>
      <t>S.E. of estimate (s</t>
    </r>
    <r>
      <rPr>
        <vertAlign val="subscript"/>
        <sz val="11"/>
        <color theme="1"/>
        <rFont val="Calibri"/>
        <family val="2"/>
        <scheme val="minor"/>
      </rPr>
      <t>Res</t>
    </r>
    <r>
      <rPr>
        <sz val="11"/>
        <color theme="1"/>
        <rFont val="Calibri"/>
        <family val="2"/>
        <scheme val="minor"/>
      </rPr>
      <t>)</t>
    </r>
  </si>
  <si>
    <t>Adjusted R Square</t>
  </si>
  <si>
    <t>F</t>
  </si>
  <si>
    <r>
      <t>df</t>
    </r>
    <r>
      <rPr>
        <vertAlign val="subscript"/>
        <sz val="11"/>
        <color theme="1"/>
        <rFont val="Calibri"/>
        <family val="2"/>
        <scheme val="minor"/>
      </rPr>
      <t>Res</t>
    </r>
  </si>
  <si>
    <t>Standard Error</t>
  </si>
  <si>
    <r>
      <t>SS</t>
    </r>
    <r>
      <rPr>
        <vertAlign val="subscript"/>
        <sz val="11"/>
        <color theme="1"/>
        <rFont val="Calibri"/>
        <family val="2"/>
        <scheme val="minor"/>
      </rPr>
      <t>Reg</t>
    </r>
  </si>
  <si>
    <r>
      <t>SS</t>
    </r>
    <r>
      <rPr>
        <vertAlign val="subscript"/>
        <sz val="11"/>
        <color theme="1"/>
        <rFont val="Calibri"/>
        <family val="2"/>
        <scheme val="minor"/>
      </rPr>
      <t>Res</t>
    </r>
  </si>
  <si>
    <t>Use of slope and intercept for prediction</t>
  </si>
  <si>
    <t>Observations</t>
  </si>
  <si>
    <t>ANOVA</t>
  </si>
  <si>
    <t>Alpha</t>
  </si>
  <si>
    <t>=$T$7*$S$7^W14*$R$7^X14</t>
  </si>
  <si>
    <t>df</t>
  </si>
  <si>
    <t>SS</t>
  </si>
  <si>
    <t>MS</t>
  </si>
  <si>
    <t>p-value</t>
  </si>
  <si>
    <t>sig</t>
  </si>
  <si>
    <t>=$T$7*$S$7^W15*$R$7^X15</t>
  </si>
  <si>
    <t>Regression</t>
  </si>
  <si>
    <t>Residual</t>
  </si>
  <si>
    <t>Use of TREND</t>
  </si>
  <si>
    <t>Total</t>
  </si>
  <si>
    <t>coeff</t>
  </si>
  <si>
    <t>std err</t>
  </si>
  <si>
    <t>t stat</t>
  </si>
  <si>
    <t>lower</t>
  </si>
  <si>
    <t>upper</t>
  </si>
  <si>
    <t>=EXP(TREND(LN(C6:C16),A6:B16,W20:X21))</t>
  </si>
  <si>
    <t>Intercept</t>
  </si>
  <si>
    <t>exp(coeff)</t>
  </si>
  <si>
    <t>Log-log transformation</t>
  </si>
  <si>
    <t>Ln Color</t>
  </si>
  <si>
    <t>Ln Quality</t>
  </si>
  <si>
    <t>=EXP($J$51)*EXP($J$52)^LN(W38)*EXP($J$53)^LN(X38)</t>
  </si>
  <si>
    <t>=EXP($J$51)*EXP($J$52)^LN(W39)*EXP($J$53)^LN(X39)</t>
  </si>
  <si>
    <t>Exp(Intercept)</t>
  </si>
  <si>
    <t>Real Statistics Using Excel</t>
  </si>
  <si>
    <t>Updated</t>
  </si>
  <si>
    <t>Copyright © 2013 - 2025 Charles Zaiontz</t>
  </si>
  <si>
    <t>Multiple Regression with Logarithmic Transformations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</si>
</sst>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2" borderId="0" xfId="0" applyFill="1"/>
    <xf numFmtId="0" fontId="0" fillId="0" borderId="3" xfId="0" applyBorder="1"/>
    <xf numFmtId="0" fontId="0" fillId="0" borderId="4" xfId="0" applyBorder="1"/>
    <xf numFmtId="0" fontId="0" fillId="3" borderId="5" xfId="0" applyFill="1" applyBorder="1"/>
    <xf numFmtId="0" fontId="0" fillId="3" borderId="6" xfId="0" applyFill="1" applyBorder="1"/>
    <xf numFmtId="0" fontId="0" fillId="0" borderId="0" xfId="0" quotePrefix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5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891C-79A0-46CC-ABAD-B4949D51F919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54</v>
      </c>
    </row>
    <row r="2" spans="1:2" x14ac:dyDescent="0.35">
      <c r="A2" t="s">
        <v>57</v>
      </c>
    </row>
    <row r="4" spans="1:2" x14ac:dyDescent="0.35">
      <c r="A4" t="s">
        <v>55</v>
      </c>
      <c r="B4" s="20">
        <v>45946</v>
      </c>
    </row>
    <row r="6" spans="1:2" x14ac:dyDescent="0.35">
      <c r="A6" s="21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2D566-6D71-4AD2-8437-BF90182919AC}">
  <dimension ref="A1:AA58"/>
  <sheetViews>
    <sheetView workbookViewId="0"/>
  </sheetViews>
  <sheetFormatPr defaultRowHeight="14.5" x14ac:dyDescent="0.35"/>
  <cols>
    <col min="4" max="4" width="5.453125" customWidth="1"/>
    <col min="6" max="6" width="9.1796875" customWidth="1"/>
    <col min="9" max="9" width="17.81640625" customWidth="1"/>
    <col min="17" max="17" width="12.81640625" customWidth="1"/>
    <col min="21" max="21" width="19.1796875" customWidth="1"/>
    <col min="22" max="22" width="2" customWidth="1"/>
    <col min="26" max="26" width="4.453125" customWidth="1"/>
    <col min="27" max="27" width="48.81640625" customWidth="1"/>
  </cols>
  <sheetData>
    <row r="1" spans="1:27" x14ac:dyDescent="0.35">
      <c r="A1" s="1" t="s">
        <v>0</v>
      </c>
    </row>
    <row r="2" spans="1:27" x14ac:dyDescent="0.35">
      <c r="A2" s="1"/>
    </row>
    <row r="3" spans="1:27" x14ac:dyDescent="0.35">
      <c r="A3" s="1" t="s">
        <v>1</v>
      </c>
    </row>
    <row r="5" spans="1:27" x14ac:dyDescent="0.35">
      <c r="A5" s="2" t="s">
        <v>2</v>
      </c>
      <c r="B5" s="2" t="s">
        <v>3</v>
      </c>
      <c r="C5" s="2" t="s">
        <v>4</v>
      </c>
      <c r="E5" s="2" t="s">
        <v>2</v>
      </c>
      <c r="F5" s="2" t="s">
        <v>3</v>
      </c>
      <c r="G5" s="2" t="s">
        <v>5</v>
      </c>
      <c r="I5" t="s">
        <v>6</v>
      </c>
      <c r="Q5" s="1" t="s">
        <v>7</v>
      </c>
      <c r="W5" s="1" t="s">
        <v>8</v>
      </c>
    </row>
    <row r="6" spans="1:27" x14ac:dyDescent="0.35">
      <c r="A6" s="3">
        <v>7</v>
      </c>
      <c r="B6" s="3">
        <v>5</v>
      </c>
      <c r="C6" s="3">
        <v>58</v>
      </c>
      <c r="E6" s="3">
        <f>A6</f>
        <v>7</v>
      </c>
      <c r="F6" s="3">
        <f>B6</f>
        <v>5</v>
      </c>
      <c r="G6" s="4">
        <f>LN(C6)</f>
        <v>4.0604430105464191</v>
      </c>
    </row>
    <row r="7" spans="1:27" ht="15" thickBot="1" x14ac:dyDescent="0.4">
      <c r="A7" s="3">
        <v>3</v>
      </c>
      <c r="B7" s="3">
        <v>7</v>
      </c>
      <c r="C7" s="3">
        <v>11</v>
      </c>
      <c r="E7" s="3">
        <f t="shared" ref="E7:F16" si="0">A7</f>
        <v>3</v>
      </c>
      <c r="F7" s="3">
        <f t="shared" si="0"/>
        <v>7</v>
      </c>
      <c r="G7" s="4">
        <f t="shared" ref="G7:G16" si="1">LN(C7)</f>
        <v>2.3978952727983707</v>
      </c>
      <c r="I7" s="5" t="s">
        <v>9</v>
      </c>
      <c r="J7" s="5"/>
      <c r="Q7" t="s">
        <v>10</v>
      </c>
      <c r="R7" s="6">
        <f t="array" ref="R7:T11">LOGEST(C6:C16,A6:B16,TRUE,TRUE)</f>
        <v>1.2586149756368867</v>
      </c>
      <c r="S7" s="6">
        <v>1.3490959792835211</v>
      </c>
      <c r="T7" s="6">
        <v>1.1934517062513368</v>
      </c>
      <c r="U7" t="s">
        <v>11</v>
      </c>
      <c r="W7" s="3" t="s">
        <v>2</v>
      </c>
      <c r="X7" s="3" t="s">
        <v>3</v>
      </c>
      <c r="Y7" s="3" t="s">
        <v>4</v>
      </c>
    </row>
    <row r="8" spans="1:27" ht="17" thickTop="1" x14ac:dyDescent="0.45">
      <c r="A8" s="3">
        <v>5</v>
      </c>
      <c r="B8" s="3">
        <v>8</v>
      </c>
      <c r="C8" s="3">
        <v>24</v>
      </c>
      <c r="E8" s="3">
        <f t="shared" si="0"/>
        <v>5</v>
      </c>
      <c r="F8" s="3">
        <f t="shared" si="0"/>
        <v>8</v>
      </c>
      <c r="G8" s="4">
        <f t="shared" si="1"/>
        <v>3.1780538303479458</v>
      </c>
      <c r="I8" t="s">
        <v>12</v>
      </c>
      <c r="J8" t="e">
        <f ca="1">SQRT(J9)</f>
        <v>#NAME?</v>
      </c>
      <c r="Q8" t="s">
        <v>13</v>
      </c>
      <c r="R8" s="6">
        <v>4.7228556379341986E-2</v>
      </c>
      <c r="S8" s="6">
        <v>5.1206484748915648E-2</v>
      </c>
      <c r="T8" s="6">
        <v>0.43452154662158687</v>
      </c>
      <c r="U8" t="s">
        <v>14</v>
      </c>
      <c r="W8" s="7">
        <v>7</v>
      </c>
      <c r="X8" s="8">
        <v>7</v>
      </c>
      <c r="Y8" s="9">
        <f t="array" ref="Y8:Y9">GROWTH(C6:C16,A6:B16,W8:X9)</f>
        <v>48.568540133870997</v>
      </c>
      <c r="AA8" s="11" t="s">
        <v>15</v>
      </c>
    </row>
    <row r="9" spans="1:27" ht="16.5" x14ac:dyDescent="0.45">
      <c r="A9" s="3">
        <v>8</v>
      </c>
      <c r="B9" s="3">
        <v>1</v>
      </c>
      <c r="C9" s="3">
        <v>11</v>
      </c>
      <c r="E9" s="3">
        <f t="shared" si="0"/>
        <v>8</v>
      </c>
      <c r="F9" s="3">
        <f t="shared" si="0"/>
        <v>1</v>
      </c>
      <c r="G9" s="4">
        <f t="shared" si="1"/>
        <v>2.3978952727983707</v>
      </c>
      <c r="I9" t="s">
        <v>16</v>
      </c>
      <c r="J9" t="e">
        <f ca="1">K16/K18</f>
        <v>#NAME?</v>
      </c>
      <c r="Q9" t="s">
        <v>17</v>
      </c>
      <c r="R9" s="6">
        <v>0.84548244133075312</v>
      </c>
      <c r="S9" s="6">
        <v>0.3675898087109174</v>
      </c>
      <c r="T9" s="6" t="e">
        <v>#N/A</v>
      </c>
      <c r="U9" t="s">
        <v>18</v>
      </c>
      <c r="W9" s="12">
        <v>4</v>
      </c>
      <c r="X9" s="13">
        <v>5</v>
      </c>
      <c r="Y9" s="10">
        <v>12.486499842727524</v>
      </c>
    </row>
    <row r="10" spans="1:27" ht="16.5" x14ac:dyDescent="0.45">
      <c r="A10" s="3">
        <v>9</v>
      </c>
      <c r="B10" s="3">
        <v>3</v>
      </c>
      <c r="C10" s="3">
        <v>31</v>
      </c>
      <c r="E10" s="3">
        <f t="shared" si="0"/>
        <v>9</v>
      </c>
      <c r="F10" s="3">
        <f t="shared" si="0"/>
        <v>3</v>
      </c>
      <c r="G10" s="4">
        <f t="shared" si="1"/>
        <v>3.4339872044851463</v>
      </c>
      <c r="I10" t="s">
        <v>19</v>
      </c>
      <c r="J10" t="e">
        <f ca="1">1-(1-J9)*(J12-1)/(J12-J16-1)</f>
        <v>#NAME?</v>
      </c>
      <c r="Q10" t="s">
        <v>20</v>
      </c>
      <c r="R10" s="6">
        <v>21.887025619931087</v>
      </c>
      <c r="S10" s="6">
        <v>8</v>
      </c>
      <c r="T10" s="6" t="e">
        <v>#N/A</v>
      </c>
      <c r="U10" t="s">
        <v>21</v>
      </c>
    </row>
    <row r="11" spans="1:27" ht="16.5" x14ac:dyDescent="0.45">
      <c r="A11" s="3">
        <v>5</v>
      </c>
      <c r="B11" s="3">
        <v>4</v>
      </c>
      <c r="C11" s="3">
        <v>15</v>
      </c>
      <c r="E11" s="3">
        <f t="shared" si="0"/>
        <v>5</v>
      </c>
      <c r="F11" s="3">
        <f t="shared" si="0"/>
        <v>4</v>
      </c>
      <c r="G11" s="4">
        <f t="shared" si="1"/>
        <v>2.7080502011022101</v>
      </c>
      <c r="I11" t="s">
        <v>22</v>
      </c>
      <c r="J11" t="e">
        <f ca="1">SQRT(L17)</f>
        <v>#NAME?</v>
      </c>
      <c r="Q11" t="s">
        <v>23</v>
      </c>
      <c r="R11" s="6">
        <v>5.9148490597962331</v>
      </c>
      <c r="S11" s="6">
        <v>1.0809781397450307</v>
      </c>
      <c r="T11" s="6" t="e">
        <v>#N/A</v>
      </c>
      <c r="U11" t="s">
        <v>24</v>
      </c>
      <c r="W11" s="1" t="s">
        <v>25</v>
      </c>
    </row>
    <row r="12" spans="1:27" x14ac:dyDescent="0.35">
      <c r="A12" s="3">
        <v>4</v>
      </c>
      <c r="B12" s="3">
        <v>0</v>
      </c>
      <c r="C12" s="3">
        <v>5</v>
      </c>
      <c r="E12" s="3">
        <f t="shared" si="0"/>
        <v>4</v>
      </c>
      <c r="F12" s="3">
        <f t="shared" si="0"/>
        <v>0</v>
      </c>
      <c r="G12" s="4">
        <f t="shared" si="1"/>
        <v>1.6094379124341003</v>
      </c>
      <c r="I12" s="13" t="s">
        <v>26</v>
      </c>
      <c r="J12" s="13">
        <f>COUNT(G6:G16)</f>
        <v>11</v>
      </c>
    </row>
    <row r="13" spans="1:27" x14ac:dyDescent="0.35">
      <c r="A13" s="3">
        <v>2</v>
      </c>
      <c r="B13" s="3">
        <v>6</v>
      </c>
      <c r="C13" s="3">
        <v>8</v>
      </c>
      <c r="E13" s="3">
        <f t="shared" si="0"/>
        <v>2</v>
      </c>
      <c r="F13" s="3">
        <f t="shared" si="0"/>
        <v>6</v>
      </c>
      <c r="G13" s="4">
        <f t="shared" si="1"/>
        <v>2.0794415416798357</v>
      </c>
      <c r="W13" s="3" t="s">
        <v>2</v>
      </c>
      <c r="X13" s="3" t="s">
        <v>3</v>
      </c>
      <c r="Y13" s="3" t="s">
        <v>4</v>
      </c>
    </row>
    <row r="14" spans="1:27" ht="15" thickBot="1" x14ac:dyDescent="0.4">
      <c r="A14" s="3">
        <v>8</v>
      </c>
      <c r="B14" s="3">
        <v>7</v>
      </c>
      <c r="C14" s="3">
        <v>84</v>
      </c>
      <c r="E14" s="3">
        <f t="shared" si="0"/>
        <v>8</v>
      </c>
      <c r="F14" s="3">
        <f t="shared" si="0"/>
        <v>7</v>
      </c>
      <c r="G14" s="4">
        <f t="shared" si="1"/>
        <v>4.4308167988433134</v>
      </c>
      <c r="I14" t="s">
        <v>27</v>
      </c>
      <c r="M14" s="3" t="s">
        <v>28</v>
      </c>
      <c r="N14" s="3">
        <v>0.05</v>
      </c>
      <c r="W14" s="7">
        <v>7</v>
      </c>
      <c r="X14" s="8">
        <v>7</v>
      </c>
      <c r="Y14" s="9">
        <f>$T$7*$S$7^W14*$R$7^X14</f>
        <v>48.568540133870975</v>
      </c>
      <c r="AA14" s="11" t="s">
        <v>29</v>
      </c>
    </row>
    <row r="15" spans="1:27" ht="15" thickTop="1" x14ac:dyDescent="0.35">
      <c r="A15" s="3">
        <v>6</v>
      </c>
      <c r="B15" s="3">
        <v>4</v>
      </c>
      <c r="C15" s="3">
        <v>24</v>
      </c>
      <c r="E15" s="3">
        <f t="shared" si="0"/>
        <v>6</v>
      </c>
      <c r="F15" s="3">
        <f t="shared" si="0"/>
        <v>4</v>
      </c>
      <c r="G15" s="4">
        <f t="shared" si="1"/>
        <v>3.1780538303479458</v>
      </c>
      <c r="I15" s="14"/>
      <c r="J15" s="14" t="s">
        <v>30</v>
      </c>
      <c r="K15" s="14" t="s">
        <v>31</v>
      </c>
      <c r="L15" s="14" t="s">
        <v>32</v>
      </c>
      <c r="M15" s="14" t="s">
        <v>20</v>
      </c>
      <c r="N15" s="14" t="s">
        <v>33</v>
      </c>
      <c r="O15" s="14" t="s">
        <v>34</v>
      </c>
      <c r="W15" s="12">
        <v>4</v>
      </c>
      <c r="X15" s="13">
        <v>5</v>
      </c>
      <c r="Y15" s="10">
        <f>$T$7*$S$7^W15*$R$7^X15</f>
        <v>12.48649984272752</v>
      </c>
      <c r="AA15" s="11" t="s">
        <v>35</v>
      </c>
    </row>
    <row r="16" spans="1:27" x14ac:dyDescent="0.35">
      <c r="A16" s="15">
        <v>9</v>
      </c>
      <c r="B16" s="15">
        <v>2</v>
      </c>
      <c r="C16" s="15">
        <v>21</v>
      </c>
      <c r="E16" s="15">
        <f t="shared" si="0"/>
        <v>9</v>
      </c>
      <c r="F16" s="15">
        <f t="shared" si="0"/>
        <v>2</v>
      </c>
      <c r="G16" s="16">
        <f t="shared" si="1"/>
        <v>3.044522437723423</v>
      </c>
      <c r="I16" t="s">
        <v>36</v>
      </c>
      <c r="J16">
        <f>COUNT(E6:F6)</f>
        <v>2</v>
      </c>
      <c r="K16" t="e">
        <f ca="1">DEVSQ(MMULT(DEsign(E6:F16),J21:J23))</f>
        <v>#NAME?</v>
      </c>
      <c r="L16" t="e">
        <f ca="1">K16/J16</f>
        <v>#NAME?</v>
      </c>
      <c r="M16" t="e">
        <f ca="1">L16/L17</f>
        <v>#NAME?</v>
      </c>
      <c r="N16" t="e">
        <f ca="1">FDIST(M16,J16,J17)</f>
        <v>#NAME?</v>
      </c>
      <c r="O16" s="3" t="e">
        <f ca="1">IF(N16&lt;N14,"yes","no")</f>
        <v>#NAME?</v>
      </c>
      <c r="T16" s="3"/>
    </row>
    <row r="17" spans="9:27" x14ac:dyDescent="0.35">
      <c r="I17" t="s">
        <v>37</v>
      </c>
      <c r="J17">
        <f>J18-J16</f>
        <v>8</v>
      </c>
      <c r="K17" t="e">
        <f ca="1">K18-K16</f>
        <v>#NAME?</v>
      </c>
      <c r="L17" t="e">
        <f ca="1">K17/J17</f>
        <v>#NAME?</v>
      </c>
      <c r="W17" s="1" t="s">
        <v>38</v>
      </c>
    </row>
    <row r="18" spans="9:27" x14ac:dyDescent="0.35">
      <c r="I18" s="13" t="s">
        <v>39</v>
      </c>
      <c r="J18" s="13">
        <f>J12-1</f>
        <v>10</v>
      </c>
      <c r="K18" s="13">
        <f>DEVSQ(G6:G16)</f>
        <v>6.9958271995412638</v>
      </c>
      <c r="L18" s="13"/>
      <c r="M18" s="13"/>
      <c r="N18" s="13"/>
      <c r="O18" s="13"/>
    </row>
    <row r="19" spans="9:27" ht="15" thickBot="1" x14ac:dyDescent="0.4">
      <c r="W19" s="3" t="s">
        <v>2</v>
      </c>
      <c r="X19" s="3" t="s">
        <v>3</v>
      </c>
      <c r="Y19" s="3" t="s">
        <v>4</v>
      </c>
    </row>
    <row r="20" spans="9:27" ht="15" thickTop="1" x14ac:dyDescent="0.35">
      <c r="I20" s="14"/>
      <c r="J20" s="14" t="s">
        <v>40</v>
      </c>
      <c r="K20" s="14" t="s">
        <v>41</v>
      </c>
      <c r="L20" s="14" t="s">
        <v>42</v>
      </c>
      <c r="M20" s="14" t="s">
        <v>33</v>
      </c>
      <c r="N20" s="14" t="s">
        <v>43</v>
      </c>
      <c r="O20" s="14" t="s">
        <v>44</v>
      </c>
      <c r="W20" s="7">
        <v>7</v>
      </c>
      <c r="X20" s="8">
        <v>7</v>
      </c>
      <c r="Y20" s="9">
        <f t="array" ref="Y20:Y21">EXP(TREND(LN(C6:C16),A6:B16,W20:X21))</f>
        <v>48.568540133870997</v>
      </c>
      <c r="AA20" s="11" t="s">
        <v>45</v>
      </c>
    </row>
    <row r="21" spans="9:27" x14ac:dyDescent="0.35">
      <c r="I21" t="s">
        <v>46</v>
      </c>
      <c r="J21" t="e">
        <f t="array" aca="1" ref="J21:K23" ca="1">RegCoeff(E6:F16,G6:G16)</f>
        <v>#NAME?</v>
      </c>
      <c r="K21" t="e">
        <f ca="1"/>
        <v>#NAME?</v>
      </c>
      <c r="L21" t="e">
        <f ca="1">J21/K21</f>
        <v>#NAME?</v>
      </c>
      <c r="M21" t="e">
        <f ca="1">TDIST(ABS(L21),$J$17,2)</f>
        <v>#NAME?</v>
      </c>
      <c r="N21" t="e">
        <f ca="1">J21-TINV(N$14,$J$17)*K21</f>
        <v>#NAME?</v>
      </c>
      <c r="O21" t="e">
        <f ca="1">J21+TINV(N$14,$J$17)*K21</f>
        <v>#NAME?</v>
      </c>
      <c r="W21" s="12">
        <v>4</v>
      </c>
      <c r="X21" s="13">
        <v>5</v>
      </c>
      <c r="Y21" s="10">
        <v>12.486499842727525</v>
      </c>
    </row>
    <row r="22" spans="9:27" x14ac:dyDescent="0.35">
      <c r="I22" t="str">
        <f t="array" ref="I22:I23">TRANSPOSE(E5:F5)</f>
        <v>Color</v>
      </c>
      <c r="J22" t="e">
        <f ca="1"/>
        <v>#NAME?</v>
      </c>
      <c r="K22" t="e">
        <f ca="1"/>
        <v>#NAME?</v>
      </c>
      <c r="L22" t="e">
        <f ca="1">J22/K22</f>
        <v>#NAME?</v>
      </c>
      <c r="M22" t="e">
        <f ca="1">TDIST(ABS(L22),$J$17,2)</f>
        <v>#NAME?</v>
      </c>
      <c r="N22" t="e">
        <f ca="1">J22-TINV(N$14,$J$17)*K22</f>
        <v>#NAME?</v>
      </c>
      <c r="O22" t="e">
        <f ca="1">J22+TINV(N$14,$J$17)*K22</f>
        <v>#NAME?</v>
      </c>
    </row>
    <row r="23" spans="9:27" x14ac:dyDescent="0.35">
      <c r="I23" s="13" t="str">
        <v>Quality</v>
      </c>
      <c r="J23" s="13" t="e">
        <f ca="1"/>
        <v>#NAME?</v>
      </c>
      <c r="K23" s="13" t="e">
        <f ca="1"/>
        <v>#NAME?</v>
      </c>
      <c r="L23" s="13" t="e">
        <f ca="1">J23/K23</f>
        <v>#NAME?</v>
      </c>
      <c r="M23" s="13" t="e">
        <f ca="1">TDIST(ABS(L23),$J$17,2)</f>
        <v>#NAME?</v>
      </c>
      <c r="N23" s="13" t="e">
        <f ca="1">J23-TINV(N$14,$J$17)*K23</f>
        <v>#NAME?</v>
      </c>
      <c r="O23" s="13" t="e">
        <f ca="1">J23+TINV(N$14,$J$17)*K23</f>
        <v>#NAME?</v>
      </c>
    </row>
    <row r="25" spans="9:27" x14ac:dyDescent="0.35">
      <c r="J25" t="s">
        <v>47</v>
      </c>
    </row>
    <row r="26" spans="9:27" x14ac:dyDescent="0.35">
      <c r="I26" t="str">
        <f>I21</f>
        <v>Intercept</v>
      </c>
      <c r="J26" s="17" t="e">
        <f ca="1">EXP(J21)</f>
        <v>#NAME?</v>
      </c>
    </row>
    <row r="27" spans="9:27" x14ac:dyDescent="0.35">
      <c r="I27" t="str">
        <f>I22</f>
        <v>Color</v>
      </c>
      <c r="J27" s="18" t="e">
        <f ca="1">EXP(J22)</f>
        <v>#NAME?</v>
      </c>
    </row>
    <row r="28" spans="9:27" x14ac:dyDescent="0.35">
      <c r="I28" t="str">
        <f>I23</f>
        <v>Quality</v>
      </c>
      <c r="J28" s="19" t="e">
        <f ca="1">EXP(J23)</f>
        <v>#NAME?</v>
      </c>
    </row>
    <row r="33" spans="1:27" x14ac:dyDescent="0.35">
      <c r="A33" s="1" t="s">
        <v>48</v>
      </c>
    </row>
    <row r="35" spans="1:27" x14ac:dyDescent="0.35">
      <c r="A35" s="2" t="s">
        <v>2</v>
      </c>
      <c r="B35" s="2" t="s">
        <v>3</v>
      </c>
      <c r="C35" s="2" t="s">
        <v>4</v>
      </c>
      <c r="E35" s="2" t="s">
        <v>49</v>
      </c>
      <c r="F35" s="2" t="s">
        <v>50</v>
      </c>
      <c r="G35" s="2" t="s">
        <v>5</v>
      </c>
      <c r="I35" t="s">
        <v>6</v>
      </c>
      <c r="W35" s="1" t="s">
        <v>25</v>
      </c>
    </row>
    <row r="36" spans="1:27" x14ac:dyDescent="0.35">
      <c r="A36" s="3">
        <v>6</v>
      </c>
      <c r="B36" s="3">
        <v>3</v>
      </c>
      <c r="C36" s="3">
        <v>58</v>
      </c>
      <c r="E36" s="4">
        <f>LN(A36)</f>
        <v>1.791759469228055</v>
      </c>
      <c r="F36" s="4">
        <f>LN(B36)</f>
        <v>1.0986122886681098</v>
      </c>
      <c r="G36" s="4">
        <f>LN(C36)</f>
        <v>4.0604430105464191</v>
      </c>
    </row>
    <row r="37" spans="1:27" ht="15" thickBot="1" x14ac:dyDescent="0.4">
      <c r="A37" s="3">
        <v>2</v>
      </c>
      <c r="B37" s="3">
        <v>6</v>
      </c>
      <c r="C37" s="3">
        <v>11</v>
      </c>
      <c r="E37" s="4">
        <f t="shared" ref="E37:G46" si="2">LN(A37)</f>
        <v>0.69314718055994529</v>
      </c>
      <c r="F37" s="4">
        <f t="shared" si="2"/>
        <v>1.791759469228055</v>
      </c>
      <c r="G37" s="4">
        <f t="shared" si="2"/>
        <v>2.3978952727983707</v>
      </c>
      <c r="I37" s="5" t="s">
        <v>9</v>
      </c>
      <c r="J37" s="5"/>
      <c r="W37" s="3" t="s">
        <v>2</v>
      </c>
      <c r="X37" s="3" t="s">
        <v>3</v>
      </c>
      <c r="Y37" s="3" t="s">
        <v>4</v>
      </c>
    </row>
    <row r="38" spans="1:27" ht="15" thickTop="1" x14ac:dyDescent="0.35">
      <c r="A38" s="3">
        <v>3</v>
      </c>
      <c r="B38" s="3">
        <v>7</v>
      </c>
      <c r="C38" s="3">
        <v>24</v>
      </c>
      <c r="E38" s="4">
        <f t="shared" si="2"/>
        <v>1.0986122886681098</v>
      </c>
      <c r="F38" s="4">
        <f t="shared" si="2"/>
        <v>1.9459101490553132</v>
      </c>
      <c r="G38" s="4">
        <f t="shared" si="2"/>
        <v>3.1780538303479458</v>
      </c>
      <c r="I38" t="s">
        <v>12</v>
      </c>
      <c r="J38" t="e">
        <f ca="1">SQRT(J39)</f>
        <v>#NAME?</v>
      </c>
      <c r="W38" s="7">
        <v>7</v>
      </c>
      <c r="X38" s="8">
        <v>7</v>
      </c>
      <c r="Y38" s="9" t="e">
        <f ca="1">$J$56*$J$57^LN(W38)*$J$58^LN(X38)</f>
        <v>#NAME?</v>
      </c>
      <c r="AA38" s="11" t="s">
        <v>51</v>
      </c>
    </row>
    <row r="39" spans="1:27" x14ac:dyDescent="0.35">
      <c r="A39" s="3">
        <v>7</v>
      </c>
      <c r="B39" s="3">
        <v>1</v>
      </c>
      <c r="C39" s="3">
        <v>11</v>
      </c>
      <c r="E39" s="4">
        <f t="shared" si="2"/>
        <v>1.9459101490553132</v>
      </c>
      <c r="F39" s="4">
        <f t="shared" si="2"/>
        <v>0</v>
      </c>
      <c r="G39" s="4">
        <f t="shared" si="2"/>
        <v>2.3978952727983707</v>
      </c>
      <c r="I39" t="s">
        <v>16</v>
      </c>
      <c r="J39" t="e">
        <f ca="1">K46/K48</f>
        <v>#NAME?</v>
      </c>
      <c r="W39" s="12">
        <v>4</v>
      </c>
      <c r="X39" s="13">
        <v>5</v>
      </c>
      <c r="Y39" s="10" t="e">
        <f ca="1">$J$56*$J$57^LN(W39)*$J$58^LN(X39)</f>
        <v>#NAME?</v>
      </c>
      <c r="AA39" s="11" t="s">
        <v>52</v>
      </c>
    </row>
    <row r="40" spans="1:27" x14ac:dyDescent="0.35">
      <c r="A40" s="3">
        <v>9</v>
      </c>
      <c r="B40" s="3">
        <v>2</v>
      </c>
      <c r="C40" s="3">
        <v>31</v>
      </c>
      <c r="E40" s="4">
        <f t="shared" si="2"/>
        <v>2.1972245773362196</v>
      </c>
      <c r="F40" s="4">
        <f t="shared" si="2"/>
        <v>0.69314718055994529</v>
      </c>
      <c r="G40" s="4">
        <f t="shared" si="2"/>
        <v>3.4339872044851463</v>
      </c>
      <c r="I40" t="s">
        <v>19</v>
      </c>
      <c r="J40" t="e">
        <f ca="1">1-(1-J39)*(J42-1)/(J42-J46-1)</f>
        <v>#NAME?</v>
      </c>
    </row>
    <row r="41" spans="1:27" x14ac:dyDescent="0.35">
      <c r="A41" s="3">
        <v>3</v>
      </c>
      <c r="B41" s="3">
        <v>3</v>
      </c>
      <c r="C41" s="3">
        <v>15</v>
      </c>
      <c r="E41" s="4">
        <f t="shared" si="2"/>
        <v>1.0986122886681098</v>
      </c>
      <c r="F41" s="4">
        <f t="shared" si="2"/>
        <v>1.0986122886681098</v>
      </c>
      <c r="G41" s="4">
        <f t="shared" si="2"/>
        <v>2.7080502011022101</v>
      </c>
      <c r="I41" t="s">
        <v>22</v>
      </c>
      <c r="J41" t="e">
        <f ca="1">SQRT(L47)</f>
        <v>#NAME?</v>
      </c>
      <c r="W41" s="1" t="s">
        <v>38</v>
      </c>
    </row>
    <row r="42" spans="1:27" x14ac:dyDescent="0.35">
      <c r="A42" s="3">
        <v>3</v>
      </c>
      <c r="B42" s="3">
        <v>1</v>
      </c>
      <c r="C42" s="3">
        <v>5</v>
      </c>
      <c r="E42" s="4">
        <f t="shared" si="2"/>
        <v>1.0986122886681098</v>
      </c>
      <c r="F42" s="4">
        <f t="shared" si="2"/>
        <v>0</v>
      </c>
      <c r="G42" s="4">
        <f t="shared" si="2"/>
        <v>1.6094379124341003</v>
      </c>
      <c r="I42" s="13" t="s">
        <v>26</v>
      </c>
      <c r="J42" s="13">
        <f>COUNT(G36:G46)</f>
        <v>11</v>
      </c>
    </row>
    <row r="43" spans="1:27" x14ac:dyDescent="0.35">
      <c r="A43" s="3">
        <v>2</v>
      </c>
      <c r="B43" s="3">
        <v>4</v>
      </c>
      <c r="C43" s="3">
        <v>8</v>
      </c>
      <c r="E43" s="4">
        <f t="shared" si="2"/>
        <v>0.69314718055994529</v>
      </c>
      <c r="F43" s="4">
        <f t="shared" si="2"/>
        <v>1.3862943611198906</v>
      </c>
      <c r="G43" s="4">
        <f t="shared" si="2"/>
        <v>2.0794415416798357</v>
      </c>
      <c r="W43" s="3" t="s">
        <v>2</v>
      </c>
      <c r="X43" s="3" t="s">
        <v>3</v>
      </c>
      <c r="Y43" s="3" t="s">
        <v>4</v>
      </c>
    </row>
    <row r="44" spans="1:27" ht="15" thickBot="1" x14ac:dyDescent="0.4">
      <c r="A44" s="3">
        <v>7</v>
      </c>
      <c r="B44" s="3">
        <v>6</v>
      </c>
      <c r="C44" s="3">
        <v>84</v>
      </c>
      <c r="E44" s="4">
        <f t="shared" si="2"/>
        <v>1.9459101490553132</v>
      </c>
      <c r="F44" s="4">
        <f t="shared" si="2"/>
        <v>1.791759469228055</v>
      </c>
      <c r="G44" s="4">
        <f t="shared" si="2"/>
        <v>4.4308167988433134</v>
      </c>
      <c r="I44" t="s">
        <v>27</v>
      </c>
      <c r="M44" s="3" t="s">
        <v>28</v>
      </c>
      <c r="N44" s="3">
        <v>0.05</v>
      </c>
      <c r="W44" s="7">
        <v>7</v>
      </c>
      <c r="X44" s="8">
        <v>7</v>
      </c>
      <c r="Y44" s="9">
        <f t="array" ref="Y44:Y45">EXP(TREND(LN(C36:C46),LN(A36:B46),LN(W44:X45)))</f>
        <v>84.437934073646957</v>
      </c>
      <c r="AA44" t="e">
        <f ca="1">FTEXT(Y44)</f>
        <v>#NAME?</v>
      </c>
    </row>
    <row r="45" spans="1:27" ht="15" thickTop="1" x14ac:dyDescent="0.35">
      <c r="A45" s="3">
        <v>4</v>
      </c>
      <c r="B45" s="3">
        <v>3</v>
      </c>
      <c r="C45" s="3">
        <v>24</v>
      </c>
      <c r="E45" s="4">
        <f t="shared" si="2"/>
        <v>1.3862943611198906</v>
      </c>
      <c r="F45" s="4">
        <f t="shared" si="2"/>
        <v>1.0986122886681098</v>
      </c>
      <c r="G45" s="4">
        <f t="shared" si="2"/>
        <v>3.1780538303479458</v>
      </c>
      <c r="I45" s="14"/>
      <c r="J45" s="14" t="s">
        <v>30</v>
      </c>
      <c r="K45" s="14" t="s">
        <v>31</v>
      </c>
      <c r="L45" s="14" t="s">
        <v>32</v>
      </c>
      <c r="M45" s="14" t="s">
        <v>20</v>
      </c>
      <c r="N45" s="14" t="s">
        <v>33</v>
      </c>
      <c r="O45" s="14" t="s">
        <v>34</v>
      </c>
      <c r="W45" s="12">
        <v>4</v>
      </c>
      <c r="X45" s="13">
        <v>5</v>
      </c>
      <c r="Y45" s="10">
        <v>29.525611831769641</v>
      </c>
    </row>
    <row r="46" spans="1:27" x14ac:dyDescent="0.35">
      <c r="A46" s="15">
        <v>9</v>
      </c>
      <c r="B46" s="15">
        <v>2</v>
      </c>
      <c r="C46" s="15">
        <v>21</v>
      </c>
      <c r="E46" s="16">
        <f t="shared" si="2"/>
        <v>2.1972245773362196</v>
      </c>
      <c r="F46" s="16">
        <f t="shared" si="2"/>
        <v>0.69314718055994529</v>
      </c>
      <c r="G46" s="16">
        <f t="shared" si="2"/>
        <v>3.044522437723423</v>
      </c>
      <c r="I46" t="s">
        <v>36</v>
      </c>
      <c r="J46">
        <f>COUNT(E36:F36)</f>
        <v>2</v>
      </c>
      <c r="K46" t="e">
        <f ca="1">DEVSQ(MMULT(DEsign(E36:F46),J51:J53))</f>
        <v>#NAME?</v>
      </c>
      <c r="L46" t="e">
        <f ca="1">K46/J46</f>
        <v>#NAME?</v>
      </c>
      <c r="M46" t="e">
        <f ca="1">L46/L47</f>
        <v>#NAME?</v>
      </c>
      <c r="N46" t="e">
        <f ca="1">FDIST(M46,J46,J47)</f>
        <v>#NAME?</v>
      </c>
      <c r="O46" s="3" t="e">
        <f ca="1">IF(N46&lt;N44,"yes","no")</f>
        <v>#NAME?</v>
      </c>
    </row>
    <row r="47" spans="1:27" x14ac:dyDescent="0.35">
      <c r="I47" t="s">
        <v>37</v>
      </c>
      <c r="J47">
        <f>J48-J46</f>
        <v>8</v>
      </c>
      <c r="K47" t="e">
        <f ca="1">K48-K46</f>
        <v>#NAME?</v>
      </c>
      <c r="L47" t="e">
        <f ca="1">K47/J47</f>
        <v>#NAME?</v>
      </c>
    </row>
    <row r="48" spans="1:27" x14ac:dyDescent="0.35">
      <c r="I48" s="13" t="s">
        <v>39</v>
      </c>
      <c r="J48" s="13">
        <f>J42-1</f>
        <v>10</v>
      </c>
      <c r="K48" s="13">
        <f>DEVSQ(G36:G46)</f>
        <v>6.9958271995412638</v>
      </c>
      <c r="L48" s="13"/>
      <c r="M48" s="13"/>
      <c r="N48" s="13"/>
      <c r="O48" s="13"/>
    </row>
    <row r="49" spans="9:15" ht="15" thickBot="1" x14ac:dyDescent="0.4"/>
    <row r="50" spans="9:15" ht="15" thickTop="1" x14ac:dyDescent="0.35">
      <c r="I50" s="14"/>
      <c r="J50" s="14" t="s">
        <v>40</v>
      </c>
      <c r="K50" s="14" t="s">
        <v>41</v>
      </c>
      <c r="L50" s="14" t="s">
        <v>42</v>
      </c>
      <c r="M50" s="14" t="s">
        <v>33</v>
      </c>
      <c r="N50" s="14" t="s">
        <v>43</v>
      </c>
      <c r="O50" s="14" t="s">
        <v>44</v>
      </c>
    </row>
    <row r="51" spans="9:15" x14ac:dyDescent="0.35">
      <c r="I51" t="s">
        <v>46</v>
      </c>
      <c r="J51" t="e">
        <f t="array" aca="1" ref="J51:J53" ca="1">RegCoeff(E36:F46,G36:G46)</f>
        <v>#NAME?</v>
      </c>
      <c r="K51" t="e">
        <f t="array" aca="1" ref="K51:K53" ca="1">RegCoeffSE(E36:F46,G36:G46)</f>
        <v>#NAME?</v>
      </c>
      <c r="L51" t="e">
        <f ca="1">J51/K51</f>
        <v>#NAME?</v>
      </c>
      <c r="M51" t="e">
        <f ca="1">TDIST(ABS(L51),$J$47,2)</f>
        <v>#NAME?</v>
      </c>
      <c r="N51" t="e">
        <f ca="1">J51-TINV(N$44,$J$47)*K51</f>
        <v>#NAME?</v>
      </c>
      <c r="O51" t="e">
        <f ca="1">J51+TINV(N$44,$J$47)*K51</f>
        <v>#NAME?</v>
      </c>
    </row>
    <row r="52" spans="9:15" x14ac:dyDescent="0.35">
      <c r="I52" t="str">
        <f t="array" ref="I52:I53">TRANSPOSE(E35:F35)</f>
        <v>Ln Color</v>
      </c>
      <c r="J52" t="e">
        <f ca="1"/>
        <v>#NAME?</v>
      </c>
      <c r="K52" t="e">
        <f ca="1"/>
        <v>#NAME?</v>
      </c>
      <c r="L52" t="e">
        <f ca="1">J52/K52</f>
        <v>#NAME?</v>
      </c>
      <c r="M52" t="e">
        <f ca="1">TDIST(ABS(L52),$J$47,2)</f>
        <v>#NAME?</v>
      </c>
      <c r="N52" t="e">
        <f ca="1">J52-TINV(N$44,$J$47)*K52</f>
        <v>#NAME?</v>
      </c>
      <c r="O52" t="e">
        <f ca="1">J52+TINV(N$44,$J$47)*K52</f>
        <v>#NAME?</v>
      </c>
    </row>
    <row r="53" spans="9:15" x14ac:dyDescent="0.35">
      <c r="I53" s="13" t="str">
        <v>Ln Quality</v>
      </c>
      <c r="J53" s="13" t="e">
        <f ca="1"/>
        <v>#NAME?</v>
      </c>
      <c r="K53" s="13" t="e">
        <f ca="1"/>
        <v>#NAME?</v>
      </c>
      <c r="L53" s="13" t="e">
        <f ca="1">J53/K53</f>
        <v>#NAME?</v>
      </c>
      <c r="M53" s="13" t="e">
        <f ca="1">TDIST(ABS(L53),$J$47,2)</f>
        <v>#NAME?</v>
      </c>
      <c r="N53" s="13" t="e">
        <f ca="1">J53-TINV(N$44,$J$47)*K53</f>
        <v>#NAME?</v>
      </c>
      <c r="O53" s="13" t="e">
        <f ca="1">J53+TINV(N$44,$J$47)*K53</f>
        <v>#NAME?</v>
      </c>
    </row>
    <row r="55" spans="9:15" x14ac:dyDescent="0.35">
      <c r="J55" s="3" t="s">
        <v>40</v>
      </c>
    </row>
    <row r="56" spans="9:15" x14ac:dyDescent="0.35">
      <c r="I56" t="s">
        <v>53</v>
      </c>
      <c r="J56" s="17" t="e">
        <f ca="1">EXP(J51)</f>
        <v>#NAME?</v>
      </c>
    </row>
    <row r="57" spans="9:15" x14ac:dyDescent="0.35">
      <c r="I57" t="s">
        <v>2</v>
      </c>
      <c r="J57" s="18" t="e">
        <f ca="1">EXP(J52)</f>
        <v>#NAME?</v>
      </c>
    </row>
    <row r="58" spans="9:15" x14ac:dyDescent="0.35">
      <c r="I58" t="s">
        <v>3</v>
      </c>
      <c r="J58" s="19" t="e">
        <f ca="1">EXP(J53)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Log 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2025-10-16T10:08:05Z</dcterms:created>
  <dcterms:modified xsi:type="dcterms:W3CDTF">2025-10-16T10:10:11Z</dcterms:modified>
</cp:coreProperties>
</file>