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CFA2C4CB-46A6-4ADF-BD69-2897005EAF1E}" xr6:coauthVersionLast="47" xr6:coauthVersionMax="47" xr10:uidLastSave="{39206A5D-76EF-44AD-9928-C2B402331E27}"/>
  <bookViews>
    <workbookView xWindow="-110" yWindow="-110" windowWidth="19420" windowHeight="10300" xr2:uid="{665BA7E4-0D98-41B1-B506-573E4AF01AAC}"/>
  </bookViews>
  <sheets>
    <sheet name="Title" sheetId="2" r:id="rId1"/>
    <sheet name="Manova 1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2" i="1" l="1" a="1"/>
  <c r="V34" i="1" s="1"/>
  <c r="P32" i="1" a="1"/>
  <c r="P34" i="1" s="1"/>
  <c r="X15" i="1" a="1"/>
  <c r="Y15" i="1" s="1"/>
  <c r="AG6" i="1"/>
  <c r="AP3" i="1" s="1"/>
  <c r="AG5" i="1"/>
  <c r="P21" i="1" a="1"/>
  <c r="J18" i="1"/>
  <c r="J17" i="1"/>
  <c r="I17" i="1"/>
  <c r="H17" i="1"/>
  <c r="G17" i="1"/>
  <c r="V18" i="1"/>
  <c r="U18" i="1"/>
  <c r="T16" i="1" a="1"/>
  <c r="P16" i="1" a="1"/>
  <c r="J16" i="1"/>
  <c r="J15" i="1"/>
  <c r="I15" i="1"/>
  <c r="R12" i="1"/>
  <c r="Q12" i="1"/>
  <c r="P12" i="1"/>
  <c r="R11" i="1"/>
  <c r="Q11" i="1"/>
  <c r="P11" i="1"/>
  <c r="P11" i="1" a="1"/>
  <c r="I10" i="1"/>
  <c r="H10" i="1"/>
  <c r="G10" i="1"/>
  <c r="G15" i="1" s="1"/>
  <c r="J9" i="1"/>
  <c r="I9" i="1"/>
  <c r="I18" i="1" s="1"/>
  <c r="H9" i="1"/>
  <c r="H18" i="1" s="1"/>
  <c r="G9" i="1"/>
  <c r="J8" i="1"/>
  <c r="I8" i="1"/>
  <c r="H8" i="1"/>
  <c r="G8" i="1"/>
  <c r="AM7" i="1"/>
  <c r="J7" i="1"/>
  <c r="I7" i="1"/>
  <c r="I16" i="1" s="1"/>
  <c r="H7" i="1"/>
  <c r="H16" i="1" s="1"/>
  <c r="G7" i="1"/>
  <c r="P6" i="1" a="1"/>
  <c r="J6" i="1"/>
  <c r="I6" i="1"/>
  <c r="H6" i="1"/>
  <c r="H15" i="1" s="1"/>
  <c r="G6" i="1"/>
  <c r="AJ5" i="1"/>
  <c r="AM9" i="1"/>
  <c r="AJ4" i="1"/>
  <c r="N6" i="1"/>
  <c r="M6" i="1"/>
  <c r="L6" i="1"/>
  <c r="N5" i="1"/>
  <c r="M5" i="1"/>
  <c r="L4" i="1" a="1"/>
  <c r="L5" i="1" s="1"/>
  <c r="AM3" i="1"/>
  <c r="AJ3" i="1"/>
  <c r="AJ6" i="1" s="1"/>
  <c r="T32" i="1" l="1"/>
  <c r="U32" i="1"/>
  <c r="Z15" i="1"/>
  <c r="P32" i="1"/>
  <c r="V32" i="1"/>
  <c r="Q32" i="1"/>
  <c r="T33" i="1"/>
  <c r="Q34" i="1"/>
  <c r="X15" i="1"/>
  <c r="R32" i="1"/>
  <c r="U33" i="1"/>
  <c r="P33" i="1"/>
  <c r="V33" i="1"/>
  <c r="Q33" i="1"/>
  <c r="T34" i="1"/>
  <c r="R33" i="1"/>
  <c r="U34" i="1"/>
  <c r="R34" i="1"/>
  <c r="AM8" i="1"/>
  <c r="Q17" i="1"/>
  <c r="P17" i="1"/>
  <c r="Q16" i="1"/>
  <c r="P16" i="1"/>
  <c r="R16" i="1"/>
  <c r="R8" i="1"/>
  <c r="P8" i="1"/>
  <c r="R7" i="1"/>
  <c r="Q8" i="1"/>
  <c r="R17" i="1"/>
  <c r="P6" i="1"/>
  <c r="P18" i="1"/>
  <c r="Q23" i="1"/>
  <c r="P23" i="1"/>
  <c r="R22" i="1"/>
  <c r="R23" i="1"/>
  <c r="AJ8" i="1"/>
  <c r="AJ10" i="1"/>
  <c r="AJ14" i="1"/>
  <c r="R6" i="1"/>
  <c r="G16" i="1"/>
  <c r="T11" i="1" a="1"/>
  <c r="T21" i="1" a="1"/>
  <c r="G18" i="1"/>
  <c r="R18" i="1"/>
  <c r="P21" i="1"/>
  <c r="AM4" i="1"/>
  <c r="P7" i="1"/>
  <c r="T18" i="1"/>
  <c r="V17" i="1"/>
  <c r="T17" i="1"/>
  <c r="V16" i="1"/>
  <c r="U17" i="1"/>
  <c r="Q21" i="1"/>
  <c r="Q7" i="1"/>
  <c r="T16" i="1"/>
  <c r="R21" i="1"/>
  <c r="Q13" i="1"/>
  <c r="P13" i="1"/>
  <c r="R13" i="1"/>
  <c r="U16" i="1"/>
  <c r="P22" i="1"/>
  <c r="Q6" i="1"/>
  <c r="Q18" i="1"/>
  <c r="AM6" i="1"/>
  <c r="AM5" i="1"/>
  <c r="AJ7" i="1"/>
  <c r="Q22" i="1"/>
  <c r="M4" i="1"/>
  <c r="L4" i="1"/>
  <c r="N4" i="1"/>
  <c r="T6" i="1" a="1"/>
  <c r="V8" i="1" l="1"/>
  <c r="U8" i="1"/>
  <c r="U6" i="1"/>
  <c r="T6" i="1"/>
  <c r="T8" i="1"/>
  <c r="V7" i="1"/>
  <c r="U7" i="1"/>
  <c r="T7" i="1"/>
  <c r="V6" i="1"/>
  <c r="T11" i="1"/>
  <c r="V13" i="1"/>
  <c r="U13" i="1"/>
  <c r="V11" i="1"/>
  <c r="T13" i="1"/>
  <c r="V12" i="1"/>
  <c r="U12" i="1"/>
  <c r="T12" i="1"/>
  <c r="U11" i="1"/>
  <c r="L9" i="1" a="1"/>
  <c r="P26" i="1" a="1"/>
  <c r="AC12" i="1"/>
  <c r="AC14" i="1"/>
  <c r="AC13" i="1" a="1"/>
  <c r="AC13" i="1" s="1"/>
  <c r="AC11" i="1" a="1"/>
  <c r="AC11" i="1" s="1"/>
  <c r="AJ9" i="1"/>
  <c r="AJ15" i="1" s="1"/>
  <c r="AJ17" i="1" s="1"/>
  <c r="T21" i="1"/>
  <c r="V23" i="1"/>
  <c r="U23" i="1"/>
  <c r="T23" i="1"/>
  <c r="V22" i="1"/>
  <c r="U22" i="1"/>
  <c r="V21" i="1"/>
  <c r="U21" i="1"/>
  <c r="T22" i="1"/>
  <c r="AM11" i="1"/>
  <c r="AM12" i="1"/>
  <c r="AM10" i="1" s="1"/>
  <c r="AM15" i="1" s="1"/>
  <c r="AP6" i="1"/>
  <c r="AP4" i="1"/>
  <c r="AP9" i="1" l="1"/>
  <c r="R26" i="1"/>
  <c r="Q26" i="1"/>
  <c r="P26" i="1"/>
  <c r="R28" i="1"/>
  <c r="Q28" i="1"/>
  <c r="P28" i="1"/>
  <c r="R27" i="1"/>
  <c r="Q27" i="1"/>
  <c r="P27" i="1"/>
  <c r="M10" i="1"/>
  <c r="M15" i="1" s="1"/>
  <c r="L10" i="1"/>
  <c r="L15" i="1" s="1"/>
  <c r="M9" i="1"/>
  <c r="M14" i="1" s="1"/>
  <c r="L9" i="1"/>
  <c r="N9" i="1"/>
  <c r="N14" i="1" s="1"/>
  <c r="N11" i="1"/>
  <c r="N16" i="1" s="1"/>
  <c r="M11" i="1"/>
  <c r="M16" i="1" s="1"/>
  <c r="L11" i="1"/>
  <c r="L16" i="1" s="1"/>
  <c r="N10" i="1"/>
  <c r="N15" i="1" s="1"/>
  <c r="AP5" i="1"/>
  <c r="AP8" i="1" s="1"/>
  <c r="AM14" i="1"/>
  <c r="T26" i="1" a="1"/>
  <c r="U27" i="1" l="1"/>
  <c r="T27" i="1"/>
  <c r="U26" i="1"/>
  <c r="T26" i="1"/>
  <c r="V26" i="1"/>
  <c r="U28" i="1"/>
  <c r="V28" i="1"/>
  <c r="T28" i="1"/>
  <c r="V27" i="1"/>
  <c r="AB4" i="1" a="1"/>
  <c r="L14" i="1"/>
  <c r="AG4" i="1" s="1"/>
  <c r="AJ11" i="1" s="1"/>
  <c r="AJ12" i="1" s="1"/>
  <c r="AJ13" i="1" s="1"/>
  <c r="AJ18" i="1" s="1"/>
  <c r="AC6" i="1" l="1"/>
  <c r="AB6" i="1"/>
  <c r="AC5" i="1"/>
  <c r="AB5" i="1"/>
  <c r="AD5" i="1"/>
  <c r="AD4" i="1"/>
  <c r="AC4" i="1"/>
  <c r="AD6" i="1"/>
  <c r="AB4" i="1"/>
  <c r="X4" i="1" a="1"/>
  <c r="Z5" i="1" l="1"/>
  <c r="Y5" i="1"/>
  <c r="Z4" i="1"/>
  <c r="Y4" i="1"/>
  <c r="X5" i="1"/>
  <c r="Y6" i="1"/>
  <c r="X6" i="1"/>
  <c r="X4" i="1"/>
  <c r="Z6" i="1"/>
  <c r="X11" i="1" l="1" a="1"/>
  <c r="Z11" i="1" l="1"/>
  <c r="Y11" i="1"/>
  <c r="X11" i="1"/>
  <c r="Y12" i="1"/>
  <c r="Z13" i="1"/>
  <c r="Y13" i="1"/>
  <c r="X13" i="1"/>
  <c r="Z12" i="1"/>
  <c r="X12" i="1"/>
</calcChain>
</file>

<file path=xl/sharedStrings.xml><?xml version="1.0" encoding="utf-8"?>
<sst xmlns="http://schemas.openxmlformats.org/spreadsheetml/2006/main" count="128" uniqueCount="54">
  <si>
    <t>MANOVA</t>
  </si>
  <si>
    <t>Calculation by Definition</t>
  </si>
  <si>
    <t>Test statistics</t>
  </si>
  <si>
    <t>Wilk's Lambda</t>
  </si>
  <si>
    <t>Hotelling</t>
  </si>
  <si>
    <t>PB Trace</t>
  </si>
  <si>
    <t>yield</t>
  </si>
  <si>
    <t>water</t>
  </si>
  <si>
    <t>herbicide</t>
  </si>
  <si>
    <t>Total Mean and Group Means</t>
  </si>
  <si>
    <t>T</t>
  </si>
  <si>
    <t>E</t>
  </si>
  <si>
    <r>
      <t>HE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</si>
  <si>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HT</t>
    </r>
    <r>
      <rPr>
        <vertAlign val="superscript"/>
        <sz val="11"/>
        <color theme="1"/>
        <rFont val="Calibri"/>
        <family val="2"/>
        <scheme val="minor"/>
      </rPr>
      <t>-1</t>
    </r>
  </si>
  <si>
    <t>n</t>
  </si>
  <si>
    <t>V</t>
  </si>
  <si>
    <t>loam</t>
  </si>
  <si>
    <t>Wilks</t>
  </si>
  <si>
    <t>k</t>
  </si>
  <si>
    <t>F</t>
  </si>
  <si>
    <t>count</t>
  </si>
  <si>
    <t>Hotel</t>
  </si>
  <si>
    <t>m</t>
  </si>
  <si>
    <t>df1</t>
  </si>
  <si>
    <t>Pillai</t>
  </si>
  <si>
    <t>a</t>
  </si>
  <si>
    <t>s</t>
  </si>
  <si>
    <t>df2</t>
  </si>
  <si>
    <t>sandy</t>
  </si>
  <si>
    <t>b-numer</t>
  </si>
  <si>
    <t>t</t>
  </si>
  <si>
    <t>α</t>
  </si>
  <si>
    <t>salty</t>
  </si>
  <si>
    <t>H</t>
  </si>
  <si>
    <t>Calculation of test statistics using eigenvalues</t>
  </si>
  <si>
    <t>b-denom</t>
  </si>
  <si>
    <t>u</t>
  </si>
  <si>
    <t>F-crit</t>
  </si>
  <si>
    <t>clay</t>
  </si>
  <si>
    <t>b</t>
  </si>
  <si>
    <r>
      <t>T</t>
    </r>
    <r>
      <rPr>
        <vertAlign val="superscript"/>
        <sz val="11"/>
        <color theme="1"/>
        <rFont val="Calibri"/>
        <family val="2"/>
        <scheme val="minor"/>
      </rPr>
      <t>2</t>
    </r>
  </si>
  <si>
    <t>P-value</t>
  </si>
  <si>
    <t>total</t>
  </si>
  <si>
    <t>c</t>
  </si>
  <si>
    <t>Λ</t>
  </si>
  <si>
    <t>Group Means less Total Means</t>
  </si>
  <si>
    <r>
      <t>Λ</t>
    </r>
    <r>
      <rPr>
        <vertAlign val="superscript"/>
        <sz val="11"/>
        <color theme="1"/>
        <rFont val="Calibri"/>
        <family val="2"/>
        <scheme val="minor"/>
      </rPr>
      <t xml:space="preserve">-1/b </t>
    </r>
    <r>
      <rPr>
        <sz val="11"/>
        <color theme="1"/>
        <rFont val="Calibri"/>
        <family val="2"/>
        <scheme val="minor"/>
      </rPr>
      <t>- 1</t>
    </r>
  </si>
  <si>
    <t>Roy</t>
  </si>
  <si>
    <t>Total</t>
  </si>
  <si>
    <t>Using Covariance Matrix</t>
  </si>
  <si>
    <t>Real Statistics Using Excel</t>
  </si>
  <si>
    <t>Updated</t>
  </si>
  <si>
    <t>Copyright © 2013 - 2025 Charles Zaiontz</t>
  </si>
  <si>
    <t>MANOVA Basic Concepts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</si>
</sst>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164" fontId="0" fillId="0" borderId="1" xfId="0" applyNumberFormat="1" applyBorder="1"/>
    <xf numFmtId="164" fontId="0" fillId="0" borderId="3" xfId="0" applyNumberFormat="1" applyBorder="1"/>
    <xf numFmtId="164" fontId="0" fillId="0" borderId="2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0" fillId="0" borderId="4" xfId="0" applyNumberFormat="1" applyBorder="1"/>
    <xf numFmtId="164" fontId="0" fillId="0" borderId="0" xfId="0" applyNumberFormat="1"/>
    <xf numFmtId="164" fontId="0" fillId="0" borderId="5" xfId="0" applyNumberFormat="1" applyBorder="1"/>
    <xf numFmtId="0" fontId="0" fillId="0" borderId="10" xfId="0" applyBorder="1"/>
    <xf numFmtId="0" fontId="0" fillId="0" borderId="11" xfId="0" applyBorder="1"/>
    <xf numFmtId="164" fontId="0" fillId="0" borderId="12" xfId="0" applyNumberFormat="1" applyBorder="1"/>
    <xf numFmtId="164" fontId="0" fillId="0" borderId="13" xfId="0" applyNumberFormat="1" applyBorder="1"/>
    <xf numFmtId="164" fontId="0" fillId="0" borderId="14" xfId="0" applyNumberFormat="1" applyBorder="1"/>
    <xf numFmtId="0" fontId="3" fillId="0" borderId="4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Group Means less Total Mean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'Manova 1'!$F$15</c:f>
              <c:strCache>
                <c:ptCount val="1"/>
                <c:pt idx="0">
                  <c:v>loam</c:v>
                </c:pt>
              </c:strCache>
            </c:strRef>
          </c:tx>
          <c:cat>
            <c:strRef>
              <c:f>'Manova 1'!$G$14:$I$14</c:f>
              <c:strCache>
                <c:ptCount val="3"/>
                <c:pt idx="0">
                  <c:v>yield</c:v>
                </c:pt>
                <c:pt idx="1">
                  <c:v>water</c:v>
                </c:pt>
                <c:pt idx="2">
                  <c:v>herbicide</c:v>
                </c:pt>
              </c:strCache>
            </c:strRef>
          </c:cat>
          <c:val>
            <c:numRef>
              <c:f>'Manova 1'!$G$15:$I$15</c:f>
              <c:numCache>
                <c:formatCode>0.0</c:formatCode>
                <c:ptCount val="3"/>
                <c:pt idx="0">
                  <c:v>8.1031250000000128</c:v>
                </c:pt>
                <c:pt idx="1">
                  <c:v>1.5718749999999986</c:v>
                </c:pt>
                <c:pt idx="2">
                  <c:v>1.7156249999999993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2F-4C7D-A56A-CC0B09D40BE8}"/>
            </c:ext>
          </c:extLst>
        </c:ser>
        <c:ser>
          <c:idx val="1"/>
          <c:order val="1"/>
          <c:tx>
            <c:strRef>
              <c:f>'Manova 1'!$F$16</c:f>
              <c:strCache>
                <c:ptCount val="1"/>
                <c:pt idx="0">
                  <c:v>sandy</c:v>
                </c:pt>
              </c:strCache>
            </c:strRef>
          </c:tx>
          <c:cat>
            <c:strRef>
              <c:f>'Manova 1'!$G$14:$I$14</c:f>
              <c:strCache>
                <c:ptCount val="3"/>
                <c:pt idx="0">
                  <c:v>yield</c:v>
                </c:pt>
                <c:pt idx="1">
                  <c:v>water</c:v>
                </c:pt>
                <c:pt idx="2">
                  <c:v>herbicide</c:v>
                </c:pt>
              </c:strCache>
            </c:strRef>
          </c:cat>
          <c:val>
            <c:numRef>
              <c:f>'Manova 1'!$G$16:$I$16</c:f>
              <c:numCache>
                <c:formatCode>0.0</c:formatCode>
                <c:ptCount val="3"/>
                <c:pt idx="0">
                  <c:v>0.96562500000000995</c:v>
                </c:pt>
                <c:pt idx="1">
                  <c:v>-2.9656249999999993</c:v>
                </c:pt>
                <c:pt idx="2">
                  <c:v>-0.32187499999999858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2F-4C7D-A56A-CC0B09D40BE8}"/>
            </c:ext>
          </c:extLst>
        </c:ser>
        <c:ser>
          <c:idx val="2"/>
          <c:order val="2"/>
          <c:tx>
            <c:strRef>
              <c:f>'Manova 1'!$F$17</c:f>
              <c:strCache>
                <c:ptCount val="1"/>
                <c:pt idx="0">
                  <c:v>salty</c:v>
                </c:pt>
              </c:strCache>
            </c:strRef>
          </c:tx>
          <c:cat>
            <c:strRef>
              <c:f>'Manova 1'!$G$14:$I$14</c:f>
              <c:strCache>
                <c:ptCount val="3"/>
                <c:pt idx="0">
                  <c:v>yield</c:v>
                </c:pt>
                <c:pt idx="1">
                  <c:v>water</c:v>
                </c:pt>
                <c:pt idx="2">
                  <c:v>herbicide</c:v>
                </c:pt>
              </c:strCache>
            </c:strRef>
          </c:cat>
          <c:val>
            <c:numRef>
              <c:f>'Manova 1'!$G$17:$I$17</c:f>
              <c:numCache>
                <c:formatCode>0.0</c:formatCode>
                <c:ptCount val="3"/>
                <c:pt idx="0">
                  <c:v>-6.2968749999999929</c:v>
                </c:pt>
                <c:pt idx="1">
                  <c:v>-0.52812500000000284</c:v>
                </c:pt>
                <c:pt idx="2">
                  <c:v>-0.80937499999999929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2F-4C7D-A56A-CC0B09D40BE8}"/>
            </c:ext>
          </c:extLst>
        </c:ser>
        <c:ser>
          <c:idx val="3"/>
          <c:order val="3"/>
          <c:tx>
            <c:strRef>
              <c:f>'Manova 1'!$F$18</c:f>
              <c:strCache>
                <c:ptCount val="1"/>
                <c:pt idx="0">
                  <c:v>clay</c:v>
                </c:pt>
              </c:strCache>
            </c:strRef>
          </c:tx>
          <c:cat>
            <c:strRef>
              <c:f>'Manova 1'!$G$14:$I$14</c:f>
              <c:strCache>
                <c:ptCount val="3"/>
                <c:pt idx="0">
                  <c:v>yield</c:v>
                </c:pt>
                <c:pt idx="1">
                  <c:v>water</c:v>
                </c:pt>
                <c:pt idx="2">
                  <c:v>herbicide</c:v>
                </c:pt>
              </c:strCache>
            </c:strRef>
          </c:cat>
          <c:val>
            <c:numRef>
              <c:f>'Manova 1'!$G$18:$I$18</c:f>
              <c:numCache>
                <c:formatCode>0.0</c:formatCode>
                <c:ptCount val="3"/>
                <c:pt idx="0">
                  <c:v>-2.7718749999999943</c:v>
                </c:pt>
                <c:pt idx="1">
                  <c:v>1.9218750000000071</c:v>
                </c:pt>
                <c:pt idx="2">
                  <c:v>-0.58437499999999876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B2F-4C7D-A56A-CC0B09D40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6127240"/>
        <c:axId val="586127632"/>
      </c:lineChart>
      <c:catAx>
        <c:axId val="586127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86127632"/>
        <c:crosses val="autoZero"/>
        <c:auto val="1"/>
        <c:lblAlgn val="ctr"/>
        <c:lblOffset val="100"/>
        <c:noMultiLvlLbl val="0"/>
      </c:catAx>
      <c:valAx>
        <c:axId val="586127632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86127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Group Means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'Manova 1'!$F$6</c:f>
              <c:strCache>
                <c:ptCount val="1"/>
                <c:pt idx="0">
                  <c:v>loam</c:v>
                </c:pt>
              </c:strCache>
            </c:strRef>
          </c:tx>
          <c:cat>
            <c:strRef>
              <c:f>'Manova 1'!$G$5:$I$5</c:f>
              <c:strCache>
                <c:ptCount val="3"/>
                <c:pt idx="0">
                  <c:v>yield</c:v>
                </c:pt>
                <c:pt idx="1">
                  <c:v>water</c:v>
                </c:pt>
                <c:pt idx="2">
                  <c:v>herbicide</c:v>
                </c:pt>
              </c:strCache>
            </c:strRef>
          </c:cat>
          <c:val>
            <c:numRef>
              <c:f>'Manova 1'!$G$6:$I$6</c:f>
              <c:numCache>
                <c:formatCode>General</c:formatCode>
                <c:ptCount val="3"/>
                <c:pt idx="0">
                  <c:v>69.712500000000006</c:v>
                </c:pt>
                <c:pt idx="1">
                  <c:v>32.737499999999997</c:v>
                </c:pt>
                <c:pt idx="2">
                  <c:v>6.3874999999999984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64-4FA1-8014-74A8FA587C77}"/>
            </c:ext>
          </c:extLst>
        </c:ser>
        <c:ser>
          <c:idx val="1"/>
          <c:order val="1"/>
          <c:tx>
            <c:strRef>
              <c:f>'Manova 1'!$F$7</c:f>
              <c:strCache>
                <c:ptCount val="1"/>
                <c:pt idx="0">
                  <c:v>sandy</c:v>
                </c:pt>
              </c:strCache>
            </c:strRef>
          </c:tx>
          <c:cat>
            <c:strRef>
              <c:f>'Manova 1'!$G$5:$I$5</c:f>
              <c:strCache>
                <c:ptCount val="3"/>
                <c:pt idx="0">
                  <c:v>yield</c:v>
                </c:pt>
                <c:pt idx="1">
                  <c:v>water</c:v>
                </c:pt>
                <c:pt idx="2">
                  <c:v>herbicide</c:v>
                </c:pt>
              </c:strCache>
            </c:strRef>
          </c:cat>
          <c:val>
            <c:numRef>
              <c:f>'Manova 1'!$G$7:$I$7</c:f>
              <c:numCache>
                <c:formatCode>General</c:formatCode>
                <c:ptCount val="3"/>
                <c:pt idx="0">
                  <c:v>62.575000000000003</c:v>
                </c:pt>
                <c:pt idx="1">
                  <c:v>28.2</c:v>
                </c:pt>
                <c:pt idx="2">
                  <c:v>4.3500000000000005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64-4FA1-8014-74A8FA587C77}"/>
            </c:ext>
          </c:extLst>
        </c:ser>
        <c:ser>
          <c:idx val="2"/>
          <c:order val="2"/>
          <c:tx>
            <c:strRef>
              <c:f>'Manova 1'!$F$8</c:f>
              <c:strCache>
                <c:ptCount val="1"/>
                <c:pt idx="0">
                  <c:v>salty</c:v>
                </c:pt>
              </c:strCache>
            </c:strRef>
          </c:tx>
          <c:cat>
            <c:strRef>
              <c:f>'Manova 1'!$G$5:$I$5</c:f>
              <c:strCache>
                <c:ptCount val="3"/>
                <c:pt idx="0">
                  <c:v>yield</c:v>
                </c:pt>
                <c:pt idx="1">
                  <c:v>water</c:v>
                </c:pt>
                <c:pt idx="2">
                  <c:v>herbicide</c:v>
                </c:pt>
              </c:strCache>
            </c:strRef>
          </c:cat>
          <c:val>
            <c:numRef>
              <c:f>'Manova 1'!$G$8:$I$8</c:f>
              <c:numCache>
                <c:formatCode>General</c:formatCode>
                <c:ptCount val="3"/>
                <c:pt idx="0">
                  <c:v>55.3125</c:v>
                </c:pt>
                <c:pt idx="1">
                  <c:v>30.637499999999996</c:v>
                </c:pt>
                <c:pt idx="2">
                  <c:v>3.8624999999999998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64-4FA1-8014-74A8FA587C77}"/>
            </c:ext>
          </c:extLst>
        </c:ser>
        <c:ser>
          <c:idx val="3"/>
          <c:order val="3"/>
          <c:tx>
            <c:strRef>
              <c:f>'Manova 1'!$F$9</c:f>
              <c:strCache>
                <c:ptCount val="1"/>
                <c:pt idx="0">
                  <c:v>clay</c:v>
                </c:pt>
              </c:strCache>
            </c:strRef>
          </c:tx>
          <c:cat>
            <c:strRef>
              <c:f>'Manova 1'!$G$5:$I$5</c:f>
              <c:strCache>
                <c:ptCount val="3"/>
                <c:pt idx="0">
                  <c:v>yield</c:v>
                </c:pt>
                <c:pt idx="1">
                  <c:v>water</c:v>
                </c:pt>
                <c:pt idx="2">
                  <c:v>herbicide</c:v>
                </c:pt>
              </c:strCache>
            </c:strRef>
          </c:cat>
          <c:val>
            <c:numRef>
              <c:f>'Manova 1'!$G$9:$I$9</c:f>
              <c:numCache>
                <c:formatCode>General</c:formatCode>
                <c:ptCount val="3"/>
                <c:pt idx="0">
                  <c:v>58.837499999999999</c:v>
                </c:pt>
                <c:pt idx="1">
                  <c:v>33.087500000000006</c:v>
                </c:pt>
                <c:pt idx="2">
                  <c:v>4.0875000000000004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64-4FA1-8014-74A8FA587C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748752"/>
        <c:axId val="587387072"/>
      </c:lineChart>
      <c:catAx>
        <c:axId val="5137487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87387072"/>
        <c:crosses val="autoZero"/>
        <c:auto val="1"/>
        <c:lblAlgn val="ctr"/>
        <c:lblOffset val="100"/>
        <c:noMultiLvlLbl val="0"/>
      </c:catAx>
      <c:valAx>
        <c:axId val="587387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137487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257175</xdr:colOff>
      <xdr:row>34</xdr:row>
      <xdr:rowOff>176212</xdr:rowOff>
    </xdr:from>
    <xdr:to>
      <xdr:col>19</xdr:col>
      <xdr:colOff>438150</xdr:colOff>
      <xdr:row>49</xdr:row>
      <xdr:rowOff>61912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634287-7766-4948-BEC9-AF56C7D747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34</xdr:row>
      <xdr:rowOff>166687</xdr:rowOff>
    </xdr:from>
    <xdr:to>
      <xdr:col>12</xdr:col>
      <xdr:colOff>85725</xdr:colOff>
      <xdr:row>49</xdr:row>
      <xdr:rowOff>52387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D59624F-AA79-439D-A669-6C86CF4B3C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Multivariate%20Examples.xlsx" TargetMode="External"/><Relationship Id="rId1" Type="http://schemas.openxmlformats.org/officeDocument/2006/relationships/externalLinkPath" Target="/38f5cd2f1f925cfd/Documenti/A%20Real%20Statistics%202020/Examples/Real%20Statistics%20Multivariate%20Examp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Desc"/>
      <sheetName val="Ellipse"/>
      <sheetName val="Ellipse 2"/>
      <sheetName val="Bivar"/>
      <sheetName val="Bivar 1"/>
      <sheetName val="FR"/>
      <sheetName val="FRSJ"/>
      <sheetName val="Hotel 1"/>
      <sheetName val="Hotel 2P"/>
      <sheetName val="Hotel 2"/>
      <sheetName val="Hotel 2a"/>
      <sheetName val="Hotel 2b"/>
      <sheetName val="Hotel 3"/>
      <sheetName val="Hotel 3a"/>
      <sheetName val="Hotel 3b"/>
      <sheetName val="Rep Measures 1"/>
      <sheetName val="Rep 2W a"/>
      <sheetName val="Rep 2W b"/>
      <sheetName val="Rep 2W c"/>
      <sheetName val="Rep Measures 2"/>
      <sheetName val="Rep Measures 3"/>
      <sheetName val="Rep 2W+1B"/>
      <sheetName val="Hot1 Power"/>
      <sheetName val="Hot2 Power"/>
      <sheetName val="Box 2"/>
      <sheetName val="Box 2a"/>
      <sheetName val="Box 3a"/>
      <sheetName val="Box 3b"/>
      <sheetName val="Manova 1"/>
      <sheetName val="Manova 1a"/>
      <sheetName val="Manova 1b"/>
      <sheetName val="Manova 1c"/>
      <sheetName val="Manova 1d"/>
      <sheetName val="Manova 1e"/>
      <sheetName val="Manova 1f"/>
      <sheetName val="Manova 1g"/>
      <sheetName val="Manova 1h"/>
      <sheetName val="Manova 1i"/>
      <sheetName val="Manova 1j"/>
      <sheetName val="Manova 1k"/>
      <sheetName val="Manova2"/>
      <sheetName val="Man Power"/>
      <sheetName val="Man2 Power"/>
      <sheetName val="PMANOVA1"/>
      <sheetName val="PMANOVA2"/>
      <sheetName val="PMANOVA3"/>
      <sheetName val="PANOVA"/>
      <sheetName val="Box"/>
      <sheetName val="PCA"/>
      <sheetName val="Factor"/>
      <sheetName val="Box Factor"/>
      <sheetName val="KMO"/>
      <sheetName val="Clust 1"/>
      <sheetName val="Clust 2"/>
      <sheetName val="Clust 3"/>
      <sheetName val="Clust 3a"/>
      <sheetName val="Clust 3b"/>
      <sheetName val="Clust A"/>
      <sheetName val="Clust B"/>
      <sheetName val="Clust C"/>
      <sheetName val="Clust D"/>
      <sheetName val="Clust E"/>
      <sheetName val="Clust E1"/>
      <sheetName val="Clust F"/>
      <sheetName val="Jenks 1"/>
      <sheetName val="Jenks 2"/>
      <sheetName val="Jenks 3"/>
      <sheetName val="Jenks 4"/>
      <sheetName val="Discrim 1"/>
      <sheetName val="Discrim 2"/>
      <sheetName val="Discrim 3"/>
      <sheetName val="Discrim 4"/>
      <sheetName val="CA 1"/>
      <sheetName val="CA 2"/>
      <sheetName val="CA 3"/>
      <sheetName val="CA 4"/>
      <sheetName val="Fact PCA"/>
      <sheetName val="PAF Comm"/>
      <sheetName val="Fact P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5">
          <cell r="G5" t="str">
            <v>yield</v>
          </cell>
          <cell r="H5" t="str">
            <v>water</v>
          </cell>
          <cell r="I5" t="str">
            <v>herbicide</v>
          </cell>
        </row>
        <row r="6">
          <cell r="F6" t="str">
            <v>loam</v>
          </cell>
          <cell r="G6">
            <v>69.712500000000006</v>
          </cell>
          <cell r="H6">
            <v>32.737499999999997</v>
          </cell>
          <cell r="I6">
            <v>6.3874999999999984</v>
          </cell>
        </row>
        <row r="7">
          <cell r="F7" t="str">
            <v>sandy</v>
          </cell>
          <cell r="G7">
            <v>62.575000000000003</v>
          </cell>
          <cell r="H7">
            <v>28.2</v>
          </cell>
          <cell r="I7">
            <v>4.3500000000000005</v>
          </cell>
        </row>
        <row r="8">
          <cell r="F8" t="str">
            <v>salty</v>
          </cell>
          <cell r="G8">
            <v>55.3125</v>
          </cell>
          <cell r="H8">
            <v>30.637499999999996</v>
          </cell>
          <cell r="I8">
            <v>3.8624999999999998</v>
          </cell>
        </row>
        <row r="9">
          <cell r="F9" t="str">
            <v>clay</v>
          </cell>
          <cell r="G9">
            <v>58.837499999999999</v>
          </cell>
          <cell r="H9">
            <v>33.087500000000006</v>
          </cell>
          <cell r="I9">
            <v>4.0875000000000004</v>
          </cell>
        </row>
        <row r="14">
          <cell r="G14" t="str">
            <v>yield</v>
          </cell>
          <cell r="H14" t="str">
            <v>water</v>
          </cell>
          <cell r="I14" t="str">
            <v>herbicide</v>
          </cell>
        </row>
        <row r="15">
          <cell r="F15" t="str">
            <v>loam</v>
          </cell>
          <cell r="G15">
            <v>8.1031250000000128</v>
          </cell>
          <cell r="H15">
            <v>1.5718749999999986</v>
          </cell>
          <cell r="I15">
            <v>1.7156249999999993</v>
          </cell>
        </row>
        <row r="16">
          <cell r="F16" t="str">
            <v>sandy</v>
          </cell>
          <cell r="G16">
            <v>0.96562500000000995</v>
          </cell>
          <cell r="H16">
            <v>-2.9656249999999993</v>
          </cell>
          <cell r="I16">
            <v>-0.32187499999999858</v>
          </cell>
        </row>
        <row r="17">
          <cell r="F17" t="str">
            <v>salty</v>
          </cell>
          <cell r="G17">
            <v>-6.2968749999999929</v>
          </cell>
          <cell r="H17">
            <v>-0.52812500000000284</v>
          </cell>
          <cell r="I17">
            <v>-0.80937499999999929</v>
          </cell>
        </row>
        <row r="18">
          <cell r="F18" t="str">
            <v>clay</v>
          </cell>
          <cell r="G18">
            <v>-2.7718749999999943</v>
          </cell>
          <cell r="H18">
            <v>1.9218750000000071</v>
          </cell>
          <cell r="I18">
            <v>-0.58437499999999876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A5F2D-BBFF-42B9-A364-C8CEA3725156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50</v>
      </c>
    </row>
    <row r="2" spans="1:2" x14ac:dyDescent="0.35">
      <c r="A2" t="s">
        <v>53</v>
      </c>
    </row>
    <row r="4" spans="1:2" x14ac:dyDescent="0.35">
      <c r="A4" t="s">
        <v>51</v>
      </c>
      <c r="B4" s="31">
        <v>45956</v>
      </c>
    </row>
    <row r="6" spans="1:2" x14ac:dyDescent="0.35">
      <c r="A6" s="32" t="s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F2409-5850-4334-B15A-69F34D6C0E80}">
  <dimension ref="A1:AP35"/>
  <sheetViews>
    <sheetView workbookViewId="0"/>
  </sheetViews>
  <sheetFormatPr defaultRowHeight="14.5" x14ac:dyDescent="0.35"/>
  <cols>
    <col min="13" max="13" width="11" bestFit="1" customWidth="1"/>
    <col min="27" max="27" width="4.453125" customWidth="1"/>
    <col min="31" max="31" width="4" customWidth="1"/>
  </cols>
  <sheetData>
    <row r="1" spans="1:42" x14ac:dyDescent="0.35">
      <c r="A1" s="1" t="s">
        <v>0</v>
      </c>
      <c r="P1" t="s">
        <v>1</v>
      </c>
      <c r="X1" t="s">
        <v>2</v>
      </c>
      <c r="AI1" t="s">
        <v>3</v>
      </c>
      <c r="AL1" t="s">
        <v>4</v>
      </c>
      <c r="AO1" t="s">
        <v>5</v>
      </c>
    </row>
    <row r="3" spans="1:42" ht="16.5" x14ac:dyDescent="0.35">
      <c r="B3" s="2" t="s">
        <v>6</v>
      </c>
      <c r="C3" s="2" t="s">
        <v>7</v>
      </c>
      <c r="D3" s="2" t="s">
        <v>8</v>
      </c>
      <c r="F3" t="s">
        <v>9</v>
      </c>
      <c r="L3" s="3" t="s">
        <v>10</v>
      </c>
      <c r="P3" t="s">
        <v>10</v>
      </c>
      <c r="T3" t="s">
        <v>11</v>
      </c>
      <c r="X3" t="s">
        <v>12</v>
      </c>
      <c r="AB3" t="s">
        <v>13</v>
      </c>
      <c r="AI3" s="4" t="s">
        <v>14</v>
      </c>
      <c r="AJ3" s="5">
        <f>COUNTA(A4:A35)</f>
        <v>32</v>
      </c>
      <c r="AL3" s="4" t="s">
        <v>14</v>
      </c>
      <c r="AM3" s="5">
        <f>AJ3</f>
        <v>32</v>
      </c>
      <c r="AO3" s="4" t="s">
        <v>15</v>
      </c>
      <c r="AP3" s="5" t="e">
        <f ca="1">AG6</f>
        <v>#NAME?</v>
      </c>
    </row>
    <row r="4" spans="1:42" x14ac:dyDescent="0.35">
      <c r="A4" t="s">
        <v>16</v>
      </c>
      <c r="B4" s="6">
        <v>76.7</v>
      </c>
      <c r="C4" s="7">
        <v>29.5</v>
      </c>
      <c r="D4" s="8">
        <v>7.5</v>
      </c>
      <c r="L4" s="4">
        <f t="array" ref="L4:N6">MMULT(TRANSPOSE(B4:D35-G10:I10),B4:D35-G10:I10)</f>
        <v>4968.8671874999991</v>
      </c>
      <c r="M4" s="9">
        <v>776.69031249999966</v>
      </c>
      <c r="N4" s="5">
        <v>-110.1915625</v>
      </c>
      <c r="X4" s="4" t="e">
        <f t="array" aca="1" ref="X4:Z6" ca="1">MMULT(L9:N11,MINVERSE(L14:N16))</f>
        <v>#NAME?</v>
      </c>
      <c r="Y4" s="9" t="e">
        <f ca="1"/>
        <v>#NAME?</v>
      </c>
      <c r="Z4" s="5" t="e">
        <f ca="1"/>
        <v>#NAME?</v>
      </c>
      <c r="AB4" s="4">
        <f t="array" ref="AB4:AD6">MMULT(L9:N11,MINVERSE(L4:N6))</f>
        <v>0.23176419132955128</v>
      </c>
      <c r="AC4" s="9">
        <v>-0.1093494842342259</v>
      </c>
      <c r="AD4" s="5">
        <v>1.4089904837612559</v>
      </c>
      <c r="AF4" t="s">
        <v>17</v>
      </c>
      <c r="AG4" s="15" t="e">
        <f ca="1">MDETERM(L14:N16)/MDETERM(L4:N6)</f>
        <v>#NAME?</v>
      </c>
      <c r="AI4" s="10" t="s">
        <v>18</v>
      </c>
      <c r="AJ4" s="11">
        <f>COUNTA(B3:D3)</f>
        <v>3</v>
      </c>
      <c r="AL4" s="10" t="s">
        <v>18</v>
      </c>
      <c r="AM4" s="11">
        <f>AJ4</f>
        <v>3</v>
      </c>
      <c r="AO4" s="10" t="s">
        <v>19</v>
      </c>
      <c r="AP4" s="11" t="e">
        <f ca="1">(2*AM8+AM6+1)*AP3/(2*AM7+AM6+1)/(AM6-AP3)</f>
        <v>#NAME?</v>
      </c>
    </row>
    <row r="5" spans="1:42" x14ac:dyDescent="0.35">
      <c r="A5" t="s">
        <v>16</v>
      </c>
      <c r="B5" s="16">
        <v>60.5</v>
      </c>
      <c r="C5" s="17">
        <v>32.1</v>
      </c>
      <c r="D5" s="18">
        <v>6.3</v>
      </c>
      <c r="G5" s="2" t="s">
        <v>6</v>
      </c>
      <c r="H5" s="2" t="s">
        <v>7</v>
      </c>
      <c r="I5" s="2" t="s">
        <v>8</v>
      </c>
      <c r="J5" s="2" t="s">
        <v>20</v>
      </c>
      <c r="L5" s="10">
        <v>776.69031249999966</v>
      </c>
      <c r="M5">
        <v>2955.8921874999996</v>
      </c>
      <c r="N5" s="11">
        <v>146.33906250000001</v>
      </c>
      <c r="P5" t="s">
        <v>16</v>
      </c>
      <c r="T5" t="s">
        <v>16</v>
      </c>
      <c r="X5" s="10" t="e">
        <f ca="1"/>
        <v>#NAME?</v>
      </c>
      <c r="Y5" t="e">
        <f ca="1"/>
        <v>#NAME?</v>
      </c>
      <c r="Z5" s="11" t="e">
        <f ca="1"/>
        <v>#NAME?</v>
      </c>
      <c r="AB5" s="10">
        <v>1.0854098128861733E-2</v>
      </c>
      <c r="AC5">
        <v>3.1470155153552379E-2</v>
      </c>
      <c r="AD5" s="11">
        <v>0.13976636535163384</v>
      </c>
      <c r="AF5" t="s">
        <v>21</v>
      </c>
      <c r="AG5" s="19" t="e">
        <f ca="1">TRACE(X4:Z6)</f>
        <v>#NAME?</v>
      </c>
      <c r="AI5" s="10" t="s">
        <v>22</v>
      </c>
      <c r="AJ5" s="11">
        <f>COUNTA(F6:F9)</f>
        <v>4</v>
      </c>
      <c r="AL5" s="10" t="s">
        <v>22</v>
      </c>
      <c r="AM5" s="11">
        <f>AJ5</f>
        <v>4</v>
      </c>
      <c r="AO5" s="10" t="s">
        <v>23</v>
      </c>
      <c r="AP5" s="11">
        <f>AM11</f>
        <v>9</v>
      </c>
    </row>
    <row r="6" spans="1:42" x14ac:dyDescent="0.35">
      <c r="A6" t="s">
        <v>16</v>
      </c>
      <c r="B6" s="16">
        <v>96.1</v>
      </c>
      <c r="C6" s="17">
        <v>40.700000000000003</v>
      </c>
      <c r="D6" s="18">
        <v>4.2</v>
      </c>
      <c r="F6" t="s">
        <v>16</v>
      </c>
      <c r="G6" s="4">
        <f t="shared" ref="G6:I9" si="0">AVERAGEIF($A$4:$A$35,$F6,B$4:B$35)</f>
        <v>69.712500000000006</v>
      </c>
      <c r="H6" s="9">
        <f t="shared" si="0"/>
        <v>32.737499999999997</v>
      </c>
      <c r="I6" s="5">
        <f t="shared" si="0"/>
        <v>6.3874999999999984</v>
      </c>
      <c r="J6">
        <f>COUNTIF($A$4:$A$35,F6)</f>
        <v>8</v>
      </c>
      <c r="L6" s="12">
        <v>-110.1915625</v>
      </c>
      <c r="M6" s="13">
        <v>146.33906250000001</v>
      </c>
      <c r="N6" s="14">
        <v>144.78468750000002</v>
      </c>
      <c r="P6" s="4">
        <f t="array" ref="P6:R8">MMULT(TRANSPOSE(B4:D11-G10:I10),B4:D11-G10:I10)</f>
        <v>2325.2738281250004</v>
      </c>
      <c r="Q6" s="9">
        <v>588.32304687500005</v>
      </c>
      <c r="R6" s="5">
        <v>-63.113359374999803</v>
      </c>
      <c r="T6" s="4">
        <f t="array" ref="T6:V8">MMULT(TRANSPOSE(B4:D11-G6:I6),B4:D11-G6:I6)</f>
        <v>1799.9887499999993</v>
      </c>
      <c r="U6" s="9">
        <v>486.42624999999981</v>
      </c>
      <c r="V6" s="5">
        <v>-174.32874999999993</v>
      </c>
      <c r="X6" s="12" t="e">
        <f ca="1"/>
        <v>#NAME?</v>
      </c>
      <c r="Y6" s="13" t="e">
        <f ca="1"/>
        <v>#NAME?</v>
      </c>
      <c r="Z6" s="14" t="e">
        <f ca="1"/>
        <v>#NAME?</v>
      </c>
      <c r="AB6" s="12">
        <v>4.1254499723941837E-2</v>
      </c>
      <c r="AC6" s="13">
        <v>-1.627043233193725E-2</v>
      </c>
      <c r="AD6" s="14">
        <v>0.27126718838041697</v>
      </c>
      <c r="AF6" t="s">
        <v>24</v>
      </c>
      <c r="AG6" s="20" t="e">
        <f ca="1">TRACE(AB4:AD6)</f>
        <v>#NAME?</v>
      </c>
      <c r="AI6" s="10" t="s">
        <v>25</v>
      </c>
      <c r="AJ6" s="11">
        <f>AJ3-AJ5-(AJ4-AJ5+2)/2</f>
        <v>27.5</v>
      </c>
      <c r="AL6" s="10" t="s">
        <v>26</v>
      </c>
      <c r="AM6" s="11">
        <f>MIN(AJ4,AJ5-1)</f>
        <v>3</v>
      </c>
      <c r="AO6" s="10" t="s">
        <v>27</v>
      </c>
      <c r="AP6" s="11">
        <f>AM6*(2*AM8+AM6+1)</f>
        <v>84</v>
      </c>
    </row>
    <row r="7" spans="1:42" x14ac:dyDescent="0.35">
      <c r="A7" t="s">
        <v>16</v>
      </c>
      <c r="B7" s="16">
        <v>88.1</v>
      </c>
      <c r="C7" s="17">
        <v>45.1</v>
      </c>
      <c r="D7" s="18">
        <v>4.9000000000000004</v>
      </c>
      <c r="F7" t="s">
        <v>28</v>
      </c>
      <c r="G7" s="10">
        <f t="shared" si="0"/>
        <v>62.575000000000003</v>
      </c>
      <c r="H7">
        <f t="shared" si="0"/>
        <v>28.2</v>
      </c>
      <c r="I7" s="11">
        <f t="shared" si="0"/>
        <v>4.3500000000000005</v>
      </c>
      <c r="J7">
        <f>COUNTIF($A$4:$A$35,F7)</f>
        <v>8</v>
      </c>
      <c r="P7" s="10">
        <v>588.32304687500005</v>
      </c>
      <c r="Q7">
        <v>400.8450781250001</v>
      </c>
      <c r="R7" s="11">
        <v>17.347734375000051</v>
      </c>
      <c r="T7" s="10">
        <v>486.42624999999981</v>
      </c>
      <c r="U7">
        <v>381.07875000000007</v>
      </c>
      <c r="V7" s="11">
        <v>-4.2262500000000047</v>
      </c>
      <c r="AI7" s="10" t="s">
        <v>29</v>
      </c>
      <c r="AJ7" s="11">
        <f>AJ4^2*(AJ5-1)^2-4</f>
        <v>77</v>
      </c>
      <c r="AL7" s="10" t="s">
        <v>30</v>
      </c>
      <c r="AM7" s="11">
        <f>(ABS(AJ4-AJ5+1)-1)/2</f>
        <v>-0.5</v>
      </c>
      <c r="AO7" s="10" t="s">
        <v>31</v>
      </c>
      <c r="AP7" s="11">
        <v>0.05</v>
      </c>
    </row>
    <row r="8" spans="1:42" x14ac:dyDescent="0.35">
      <c r="A8" t="s">
        <v>16</v>
      </c>
      <c r="B8" s="16">
        <v>50.2</v>
      </c>
      <c r="C8" s="17">
        <v>34.1</v>
      </c>
      <c r="D8" s="18">
        <v>11.7</v>
      </c>
      <c r="F8" t="s">
        <v>32</v>
      </c>
      <c r="G8" s="10">
        <f t="shared" si="0"/>
        <v>55.3125</v>
      </c>
      <c r="H8">
        <f t="shared" si="0"/>
        <v>30.637499999999996</v>
      </c>
      <c r="I8" s="11">
        <f t="shared" si="0"/>
        <v>3.8624999999999998</v>
      </c>
      <c r="J8">
        <f>COUNTIF($A$4:$A$35,F8)</f>
        <v>8</v>
      </c>
      <c r="L8" t="s">
        <v>33</v>
      </c>
      <c r="P8" s="12">
        <v>-63.113359374999803</v>
      </c>
      <c r="Q8" s="13">
        <v>17.347734375000051</v>
      </c>
      <c r="R8" s="14">
        <v>65.815703125000013</v>
      </c>
      <c r="T8" s="12">
        <v>-174.32874999999993</v>
      </c>
      <c r="U8" s="13">
        <v>-4.2262500000000047</v>
      </c>
      <c r="V8" s="14">
        <v>42.268749999999983</v>
      </c>
      <c r="X8" t="s">
        <v>34</v>
      </c>
      <c r="AI8" s="10" t="s">
        <v>35</v>
      </c>
      <c r="AJ8" s="11">
        <f>AJ4^2+(AJ5-1)^2-5</f>
        <v>13</v>
      </c>
      <c r="AL8" s="10" t="s">
        <v>36</v>
      </c>
      <c r="AM8" s="11">
        <f>(AM3-AM5-AM4-1)/2</f>
        <v>12</v>
      </c>
      <c r="AO8" s="10" t="s">
        <v>37</v>
      </c>
      <c r="AP8" s="11">
        <f>FINV(AP7,AP5,AP6)</f>
        <v>1.9933120301272056</v>
      </c>
    </row>
    <row r="9" spans="1:42" ht="16.5" x14ac:dyDescent="0.35">
      <c r="A9" t="s">
        <v>16</v>
      </c>
      <c r="B9" s="16">
        <v>55</v>
      </c>
      <c r="C9" s="17">
        <v>31.1</v>
      </c>
      <c r="D9" s="18">
        <v>6.9</v>
      </c>
      <c r="F9" t="s">
        <v>38</v>
      </c>
      <c r="G9" s="12">
        <f t="shared" si="0"/>
        <v>58.837499999999999</v>
      </c>
      <c r="H9" s="13">
        <f t="shared" si="0"/>
        <v>33.087500000000006</v>
      </c>
      <c r="I9" s="14">
        <f t="shared" si="0"/>
        <v>4.0875000000000004</v>
      </c>
      <c r="J9">
        <f>COUNTIF($A$4:$A$35,F9)</f>
        <v>8</v>
      </c>
      <c r="L9" s="4">
        <f t="array" ref="L9:N11">MMULT(TRANSPOSE(G15:I18),G15:I18*J15:J18)</f>
        <v>911.41593750000084</v>
      </c>
      <c r="M9" s="9">
        <v>62.974062499999881</v>
      </c>
      <c r="N9" s="5">
        <v>162.45968749999994</v>
      </c>
      <c r="AI9" s="10" t="s">
        <v>39</v>
      </c>
      <c r="AJ9" s="11">
        <f>IF(AJ8&gt;0,SQRT(AJ7/AJ8),1)</f>
        <v>2.433737233777904</v>
      </c>
      <c r="AL9" s="10" t="s">
        <v>40</v>
      </c>
      <c r="AM9" s="11" t="e">
        <f ca="1">AG5</f>
        <v>#NAME?</v>
      </c>
      <c r="AO9" s="12" t="s">
        <v>41</v>
      </c>
      <c r="AP9" s="14" t="e">
        <f ca="1">FDIST(AP4,AP5,AP6)</f>
        <v>#NAME?</v>
      </c>
    </row>
    <row r="10" spans="1:42" ht="16.5" x14ac:dyDescent="0.35">
      <c r="A10" t="s">
        <v>16</v>
      </c>
      <c r="B10" s="16">
        <v>65.400000000000006</v>
      </c>
      <c r="C10" s="17">
        <v>21.6</v>
      </c>
      <c r="D10" s="18">
        <v>4.3</v>
      </c>
      <c r="F10" t="s">
        <v>42</v>
      </c>
      <c r="G10" s="21">
        <f>AVERAGE(B4:B35)</f>
        <v>61.609374999999993</v>
      </c>
      <c r="H10" s="22">
        <f>AVERAGE(C4:C35)</f>
        <v>31.165624999999999</v>
      </c>
      <c r="I10" s="23">
        <f>AVERAGE(D4:D35)</f>
        <v>4.6718749999999991</v>
      </c>
      <c r="L10" s="10">
        <v>62.974062499999881</v>
      </c>
      <c r="M10">
        <v>121.90593750000016</v>
      </c>
      <c r="N10" s="11">
        <v>23.645312499999932</v>
      </c>
      <c r="P10" t="s">
        <v>28</v>
      </c>
      <c r="T10" t="s">
        <v>28</v>
      </c>
      <c r="X10" t="s">
        <v>12</v>
      </c>
      <c r="AI10" s="10" t="s">
        <v>43</v>
      </c>
      <c r="AJ10" s="11">
        <f>(AJ4*(AJ5-1)-2)/2</f>
        <v>3.5</v>
      </c>
      <c r="AL10" s="10" t="s">
        <v>19</v>
      </c>
      <c r="AM10" s="11" t="e">
        <f ca="1">AM9*AM12/(AM11*AM6)</f>
        <v>#NAME?</v>
      </c>
    </row>
    <row r="11" spans="1:42" x14ac:dyDescent="0.35">
      <c r="A11" t="s">
        <v>16</v>
      </c>
      <c r="B11" s="16">
        <v>65.7</v>
      </c>
      <c r="C11" s="17">
        <v>27.7</v>
      </c>
      <c r="D11" s="18">
        <v>5.3</v>
      </c>
      <c r="L11" s="12">
        <v>162.45968749999994</v>
      </c>
      <c r="M11" s="13">
        <v>23.645312499999932</v>
      </c>
      <c r="N11" s="14">
        <v>32.348437499999953</v>
      </c>
      <c r="P11" s="4">
        <f t="array" ref="P11:R13">MMULT(TRANSPOSE(B12:D19-G10:I10),B12:D19-G10:I10)</f>
        <v>474.07445312500033</v>
      </c>
      <c r="Q11" s="9">
        <v>-25.90945312500024</v>
      </c>
      <c r="R11" s="5">
        <v>-46.756484375000049</v>
      </c>
      <c r="T11" s="4">
        <f t="array" ref="T11:V13">MMULT(TRANSPOSE(B12:D19-G7:I7),B12:D19-G7:I7)</f>
        <v>466.61500000000012</v>
      </c>
      <c r="U11" s="9">
        <v>-3.0000000000000533</v>
      </c>
      <c r="V11" s="5">
        <v>-44.270000000000024</v>
      </c>
      <c r="X11" s="4" t="e">
        <f t="array" aca="1" ref="X11:Z13" ca="1">X4:Z6</f>
        <v>#NAME?</v>
      </c>
      <c r="Y11" s="9" t="e">
        <f ca="1"/>
        <v>#NAME?</v>
      </c>
      <c r="Z11" s="5" t="e">
        <f ca="1"/>
        <v>#NAME?</v>
      </c>
      <c r="AB11" t="s">
        <v>17</v>
      </c>
      <c r="AC11" s="15" t="e">
        <f t="array" aca="1" ref="AC11" ca="1">1/PRODUCT(1+X15:Z15)</f>
        <v>#NAME?</v>
      </c>
      <c r="AI11" s="10" t="s">
        <v>44</v>
      </c>
      <c r="AJ11" s="11" t="e">
        <f ca="1">AG4</f>
        <v>#NAME?</v>
      </c>
      <c r="AL11" s="10" t="s">
        <v>23</v>
      </c>
      <c r="AM11" s="11">
        <f>AM6*(2*AM7+AM6+1)</f>
        <v>9</v>
      </c>
    </row>
    <row r="12" spans="1:42" ht="16.5" x14ac:dyDescent="0.35">
      <c r="A12" t="s">
        <v>28</v>
      </c>
      <c r="B12" s="16">
        <v>67.3</v>
      </c>
      <c r="C12" s="17">
        <v>48.3</v>
      </c>
      <c r="D12" s="18">
        <v>5.5</v>
      </c>
      <c r="F12" t="s">
        <v>45</v>
      </c>
      <c r="P12" s="10">
        <v>-25.90945312500024</v>
      </c>
      <c r="Q12">
        <v>1051.2194531249997</v>
      </c>
      <c r="R12" s="11">
        <v>68.376484374999976</v>
      </c>
      <c r="T12" s="10">
        <v>-3.0000000000000533</v>
      </c>
      <c r="U12">
        <v>980.86</v>
      </c>
      <c r="V12" s="11">
        <v>60.739999999999995</v>
      </c>
      <c r="X12" s="10" t="e">
        <f ca="1"/>
        <v>#NAME?</v>
      </c>
      <c r="Y12" t="e">
        <f ca="1"/>
        <v>#NAME?</v>
      </c>
      <c r="Z12" s="11" t="e">
        <f ca="1"/>
        <v>#NAME?</v>
      </c>
      <c r="AB12" t="s">
        <v>21</v>
      </c>
      <c r="AC12" s="19" t="e">
        <f ca="1">SUM(X15:Z15)</f>
        <v>#NAME?</v>
      </c>
      <c r="AI12" s="10" t="s">
        <v>46</v>
      </c>
      <c r="AJ12" s="11" t="e">
        <f ca="1">AJ11^(-1/AJ9)-1</f>
        <v>#NAME?</v>
      </c>
      <c r="AL12" s="10" t="s">
        <v>27</v>
      </c>
      <c r="AM12" s="11">
        <f>2*(AM6*AM8+1)</f>
        <v>74</v>
      </c>
    </row>
    <row r="13" spans="1:42" x14ac:dyDescent="0.35">
      <c r="A13" t="s">
        <v>28</v>
      </c>
      <c r="B13" s="16">
        <v>61.3</v>
      </c>
      <c r="C13" s="17">
        <v>28.9</v>
      </c>
      <c r="D13" s="18">
        <v>6.9</v>
      </c>
      <c r="L13" t="s">
        <v>11</v>
      </c>
      <c r="P13" s="12">
        <v>-46.756484375000049</v>
      </c>
      <c r="Q13" s="13">
        <v>68.376484374999976</v>
      </c>
      <c r="R13" s="14">
        <v>22.288828124999998</v>
      </c>
      <c r="T13" s="12">
        <v>-44.270000000000024</v>
      </c>
      <c r="U13" s="13">
        <v>60.739999999999995</v>
      </c>
      <c r="V13" s="14">
        <v>21.46</v>
      </c>
      <c r="X13" s="12" t="e">
        <f ca="1"/>
        <v>#NAME?</v>
      </c>
      <c r="Y13" s="13" t="e">
        <f ca="1"/>
        <v>#NAME?</v>
      </c>
      <c r="Z13" s="14" t="e">
        <f ca="1"/>
        <v>#NAME?</v>
      </c>
      <c r="AB13" t="s">
        <v>24</v>
      </c>
      <c r="AC13" s="19" t="e">
        <f t="array" aca="1" ref="AC13" ca="1">SUM(X15:Z15/(1+X15:Z15))</f>
        <v>#NAME?</v>
      </c>
      <c r="AI13" s="10" t="s">
        <v>19</v>
      </c>
      <c r="AJ13" s="11" t="e">
        <f ca="1">AJ12*AJ15/AJ14</f>
        <v>#NAME?</v>
      </c>
      <c r="AL13" s="24" t="s">
        <v>31</v>
      </c>
      <c r="AM13" s="11">
        <v>0.05</v>
      </c>
    </row>
    <row r="14" spans="1:42" x14ac:dyDescent="0.35">
      <c r="A14" t="s">
        <v>28</v>
      </c>
      <c r="B14" s="16">
        <v>58.2</v>
      </c>
      <c r="C14" s="17">
        <v>42.5</v>
      </c>
      <c r="D14" s="18">
        <v>4.8</v>
      </c>
      <c r="G14" s="2" t="s">
        <v>6</v>
      </c>
      <c r="H14" s="2" t="s">
        <v>7</v>
      </c>
      <c r="I14" s="2" t="s">
        <v>8</v>
      </c>
      <c r="J14" s="2" t="s">
        <v>20</v>
      </c>
      <c r="L14" s="4" t="e">
        <f t="shared" ref="L14:N16" ca="1" si="1">P32-L9</f>
        <v>#NAME?</v>
      </c>
      <c r="M14" s="9" t="e">
        <f t="shared" ca="1" si="1"/>
        <v>#NAME?</v>
      </c>
      <c r="N14" s="5" t="e">
        <f t="shared" ca="1" si="1"/>
        <v>#NAME?</v>
      </c>
      <c r="AB14" t="s">
        <v>47</v>
      </c>
      <c r="AC14" s="20" t="e">
        <f ca="1">X15</f>
        <v>#NAME?</v>
      </c>
      <c r="AI14" s="10" t="s">
        <v>23</v>
      </c>
      <c r="AJ14" s="11">
        <f>AJ4*(AJ5-1)</f>
        <v>9</v>
      </c>
      <c r="AL14" s="10" t="s">
        <v>37</v>
      </c>
      <c r="AM14" s="11">
        <f>FINV(AM13,AM11,AM12)</f>
        <v>2.0090248999382183</v>
      </c>
    </row>
    <row r="15" spans="1:42" x14ac:dyDescent="0.35">
      <c r="A15" t="s">
        <v>28</v>
      </c>
      <c r="B15" s="16">
        <v>76.900000000000006</v>
      </c>
      <c r="C15" s="17">
        <v>20.399999999999999</v>
      </c>
      <c r="D15" s="18">
        <v>3</v>
      </c>
      <c r="F15" t="s">
        <v>16</v>
      </c>
      <c r="G15" s="6">
        <f t="shared" ref="G15:I18" si="2">G6-G$10</f>
        <v>8.1031250000000128</v>
      </c>
      <c r="H15" s="7">
        <f t="shared" si="2"/>
        <v>1.5718749999999986</v>
      </c>
      <c r="I15" s="8">
        <f t="shared" si="2"/>
        <v>1.7156249999999993</v>
      </c>
      <c r="J15">
        <f>COUNTIF($A$4:$A$35,F15)</f>
        <v>8</v>
      </c>
      <c r="K15" s="2"/>
      <c r="L15" s="10" t="e">
        <f t="shared" ca="1" si="1"/>
        <v>#NAME?</v>
      </c>
      <c r="M15" t="e">
        <f t="shared" ca="1" si="1"/>
        <v>#NAME?</v>
      </c>
      <c r="N15" s="11" t="e">
        <f t="shared" ca="1" si="1"/>
        <v>#NAME?</v>
      </c>
      <c r="P15" t="s">
        <v>32</v>
      </c>
      <c r="T15" t="s">
        <v>32</v>
      </c>
      <c r="X15" s="25" t="e">
        <f t="array" aca="1" ref="X15:Z15" ca="1">eVALUES(X11:Z13)</f>
        <v>#NAME?</v>
      </c>
      <c r="Y15" s="26" t="e">
        <f ca="1"/>
        <v>#NAME?</v>
      </c>
      <c r="Z15" s="27" t="e">
        <f ca="1"/>
        <v>#NAME?</v>
      </c>
      <c r="AI15" s="10" t="s">
        <v>27</v>
      </c>
      <c r="AJ15" s="11">
        <f>AJ6*AJ9-AJ10</f>
        <v>63.427773928892364</v>
      </c>
      <c r="AL15" s="12" t="s">
        <v>41</v>
      </c>
      <c r="AM15" s="14" t="e">
        <f ca="1">FDIST(AM10,AM11,AM12)</f>
        <v>#NAME?</v>
      </c>
    </row>
    <row r="16" spans="1:42" x14ac:dyDescent="0.35">
      <c r="A16" t="s">
        <v>28</v>
      </c>
      <c r="B16" s="16">
        <v>66.900000000000006</v>
      </c>
      <c r="C16" s="17">
        <v>23.9</v>
      </c>
      <c r="D16" s="18">
        <v>1.1000000000000001</v>
      </c>
      <c r="F16" t="s">
        <v>28</v>
      </c>
      <c r="G16" s="16">
        <f t="shared" si="2"/>
        <v>0.96562500000000995</v>
      </c>
      <c r="H16" s="17">
        <f t="shared" si="2"/>
        <v>-2.9656249999999993</v>
      </c>
      <c r="I16" s="18">
        <f t="shared" si="2"/>
        <v>-0.32187499999999858</v>
      </c>
      <c r="J16">
        <f>COUNTIF($A$4:$A$35,F16)</f>
        <v>8</v>
      </c>
      <c r="L16" s="12" t="e">
        <f t="shared" ca="1" si="1"/>
        <v>#NAME?</v>
      </c>
      <c r="M16" s="13" t="e">
        <f t="shared" ca="1" si="1"/>
        <v>#NAME?</v>
      </c>
      <c r="N16" s="14" t="e">
        <f t="shared" ca="1" si="1"/>
        <v>#NAME?</v>
      </c>
      <c r="P16" s="4">
        <f t="array" ref="P16:R18">MMULT(TRANSPOSE(B20:D27-G10:I10),B20:D27-G10:I10)</f>
        <v>1309.4338281249991</v>
      </c>
      <c r="Q16" s="9">
        <v>-4.5694531250001376</v>
      </c>
      <c r="R16" s="5">
        <v>58.876015624999887</v>
      </c>
      <c r="T16" s="4">
        <f t="array" ref="T16:V18">MMULT(TRANSPOSE(B20:D27-G8:I8),B20:D27-G8:I8)</f>
        <v>992.22874999999976</v>
      </c>
      <c r="U16" s="9">
        <v>-31.17375000000002</v>
      </c>
      <c r="V16" s="5">
        <v>18.103749999999966</v>
      </c>
      <c r="AI16" s="24" t="s">
        <v>31</v>
      </c>
      <c r="AJ16" s="11">
        <v>0.05</v>
      </c>
    </row>
    <row r="17" spans="1:36" x14ac:dyDescent="0.35">
      <c r="A17" t="s">
        <v>28</v>
      </c>
      <c r="B17" s="16">
        <v>55.4</v>
      </c>
      <c r="C17" s="17">
        <v>29.1</v>
      </c>
      <c r="D17" s="18">
        <v>5</v>
      </c>
      <c r="F17" t="s">
        <v>32</v>
      </c>
      <c r="G17" s="16">
        <f t="shared" si="2"/>
        <v>-6.2968749999999929</v>
      </c>
      <c r="H17" s="17">
        <f t="shared" si="2"/>
        <v>-0.52812500000000284</v>
      </c>
      <c r="I17" s="18">
        <f t="shared" si="2"/>
        <v>-0.80937499999999929</v>
      </c>
      <c r="J17">
        <f>COUNTIF($A$4:$A$35,F17)</f>
        <v>8</v>
      </c>
      <c r="P17" s="10">
        <v>-4.5694531250001376</v>
      </c>
      <c r="Q17">
        <v>576.65007812499994</v>
      </c>
      <c r="R17" s="11">
        <v>20.050859375000002</v>
      </c>
      <c r="T17" s="10">
        <v>-31.17375000000002</v>
      </c>
      <c r="U17">
        <v>574.41874999999993</v>
      </c>
      <c r="V17" s="11">
        <v>16.631250000000012</v>
      </c>
      <c r="AI17" s="10" t="s">
        <v>37</v>
      </c>
      <c r="AJ17" s="11">
        <f>FINV(AJ16,AJ14,AJ15)</f>
        <v>2.0322422110018468</v>
      </c>
    </row>
    <row r="18" spans="1:36" x14ac:dyDescent="0.35">
      <c r="A18" t="s">
        <v>28</v>
      </c>
      <c r="B18" s="16">
        <v>50.5</v>
      </c>
      <c r="C18" s="17">
        <v>18</v>
      </c>
      <c r="D18" s="18">
        <v>4.8</v>
      </c>
      <c r="F18" t="s">
        <v>38</v>
      </c>
      <c r="G18" s="28">
        <f t="shared" si="2"/>
        <v>-2.7718749999999943</v>
      </c>
      <c r="H18" s="29">
        <f t="shared" si="2"/>
        <v>1.9218750000000071</v>
      </c>
      <c r="I18" s="30">
        <f t="shared" si="2"/>
        <v>-0.58437499999999876</v>
      </c>
      <c r="J18">
        <f>COUNTIF($A$4:$A$35,F18)</f>
        <v>8</v>
      </c>
      <c r="P18" s="12">
        <v>58.876015624999887</v>
      </c>
      <c r="Q18" s="13">
        <v>20.050859375000002</v>
      </c>
      <c r="R18" s="14">
        <v>29.339453124999988</v>
      </c>
      <c r="T18" s="12">
        <v>18.103749999999966</v>
      </c>
      <c r="U18" s="13">
        <v>16.631250000000012</v>
      </c>
      <c r="V18" s="14">
        <v>24.098749999999999</v>
      </c>
      <c r="AI18" s="12" t="s">
        <v>41</v>
      </c>
      <c r="AJ18" s="14" t="e">
        <f ca="1">FDIST(AJ13,AJ14,AJ15)</f>
        <v>#NAME?</v>
      </c>
    </row>
    <row r="19" spans="1:36" x14ac:dyDescent="0.35">
      <c r="A19" t="s">
        <v>28</v>
      </c>
      <c r="B19" s="16">
        <v>64.099999999999994</v>
      </c>
      <c r="C19" s="17">
        <v>14.5</v>
      </c>
      <c r="D19" s="18">
        <v>3.7</v>
      </c>
    </row>
    <row r="20" spans="1:36" x14ac:dyDescent="0.35">
      <c r="A20" t="s">
        <v>32</v>
      </c>
      <c r="B20" s="16">
        <v>62.8</v>
      </c>
      <c r="C20" s="17">
        <v>25.9</v>
      </c>
      <c r="D20" s="18">
        <v>2.9</v>
      </c>
      <c r="P20" t="s">
        <v>38</v>
      </c>
      <c r="T20" t="s">
        <v>38</v>
      </c>
    </row>
    <row r="21" spans="1:36" x14ac:dyDescent="0.35">
      <c r="A21" t="s">
        <v>32</v>
      </c>
      <c r="B21" s="16">
        <v>45</v>
      </c>
      <c r="C21" s="17">
        <v>15.9</v>
      </c>
      <c r="D21" s="18">
        <v>1.2</v>
      </c>
      <c r="P21" s="4">
        <f t="array" ref="P21:R23">MMULT(TRANSPOSE(B28:D35-G10:I10),B28:D35-G10:I10)</f>
        <v>860.08507812499988</v>
      </c>
      <c r="Q21" s="9">
        <v>218.8461718750001</v>
      </c>
      <c r="R21" s="5">
        <v>-59.19773437500006</v>
      </c>
      <c r="T21" s="4">
        <f t="array" ref="T21:V23">MMULT(TRANSPOSE(B28:D35-G9:I9),B28:D35-G9:I9)</f>
        <v>798.6187500000002</v>
      </c>
      <c r="U21" s="9">
        <v>261.46375000000006</v>
      </c>
      <c r="V21" s="5">
        <v>-72.156250000000014</v>
      </c>
    </row>
    <row r="22" spans="1:36" x14ac:dyDescent="0.35">
      <c r="A22" t="s">
        <v>32</v>
      </c>
      <c r="B22" s="16">
        <v>47.8</v>
      </c>
      <c r="C22" s="17">
        <v>36.1</v>
      </c>
      <c r="D22" s="18">
        <v>4.0999999999999996</v>
      </c>
      <c r="P22" s="10">
        <v>218.8461718750001</v>
      </c>
      <c r="Q22">
        <v>927.17757812500008</v>
      </c>
      <c r="R22" s="11">
        <v>40.563984375000011</v>
      </c>
      <c r="T22" s="10">
        <v>261.46375000000006</v>
      </c>
      <c r="U22">
        <v>897.62875000000008</v>
      </c>
      <c r="V22" s="11">
        <v>49.548750000000005</v>
      </c>
    </row>
    <row r="23" spans="1:36" x14ac:dyDescent="0.35">
      <c r="A23" t="s">
        <v>32</v>
      </c>
      <c r="B23" s="16">
        <v>75.599999999999994</v>
      </c>
      <c r="C23" s="17">
        <v>27.7</v>
      </c>
      <c r="D23" s="18">
        <v>6.3</v>
      </c>
      <c r="P23" s="12">
        <v>-59.19773437500006</v>
      </c>
      <c r="Q23" s="13">
        <v>40.563984375000011</v>
      </c>
      <c r="R23" s="14">
        <v>27.340703124999994</v>
      </c>
      <c r="T23" s="12">
        <v>-72.156250000000014</v>
      </c>
      <c r="U23" s="13">
        <v>49.548750000000005</v>
      </c>
      <c r="V23" s="14">
        <v>24.608750000000001</v>
      </c>
    </row>
    <row r="24" spans="1:36" x14ac:dyDescent="0.35">
      <c r="A24" t="s">
        <v>32</v>
      </c>
      <c r="B24" s="16">
        <v>46.6</v>
      </c>
      <c r="C24" s="17">
        <v>46.9</v>
      </c>
      <c r="D24" s="18">
        <v>3.6</v>
      </c>
    </row>
    <row r="25" spans="1:36" x14ac:dyDescent="0.35">
      <c r="A25" t="s">
        <v>32</v>
      </c>
      <c r="B25" s="16">
        <v>50.6</v>
      </c>
      <c r="C25" s="17">
        <v>29.7</v>
      </c>
      <c r="D25" s="18">
        <v>4.7</v>
      </c>
      <c r="P25" t="s">
        <v>48</v>
      </c>
      <c r="T25" t="s">
        <v>48</v>
      </c>
    </row>
    <row r="26" spans="1:36" x14ac:dyDescent="0.35">
      <c r="A26" t="s">
        <v>32</v>
      </c>
      <c r="B26" s="16">
        <v>45.7</v>
      </c>
      <c r="C26" s="17">
        <v>27.6</v>
      </c>
      <c r="D26" s="18">
        <v>6.2</v>
      </c>
      <c r="P26" s="4">
        <f t="array" ref="P26:R28">P6:R8+P11:R13+P16:R18+P21:R23</f>
        <v>4968.8671875</v>
      </c>
      <c r="Q26" s="9">
        <v>776.69031249999978</v>
      </c>
      <c r="R26" s="5">
        <v>-110.19156250000003</v>
      </c>
      <c r="T26" s="4">
        <f t="array" ref="T26:V28">T6:V8+T11:V13+T16:V18+T21:V23</f>
        <v>4057.4512499999992</v>
      </c>
      <c r="U26" s="9">
        <v>713.71624999999972</v>
      </c>
      <c r="V26" s="5">
        <v>-272.65125</v>
      </c>
    </row>
    <row r="27" spans="1:36" x14ac:dyDescent="0.35">
      <c r="A27" t="s">
        <v>32</v>
      </c>
      <c r="B27" s="16">
        <v>68.400000000000006</v>
      </c>
      <c r="C27" s="17">
        <v>35.299999999999997</v>
      </c>
      <c r="D27" s="18">
        <v>1.9</v>
      </c>
      <c r="P27" s="10">
        <v>776.69031249999978</v>
      </c>
      <c r="Q27">
        <v>2955.8921874999996</v>
      </c>
      <c r="R27" s="11">
        <v>146.33906250000004</v>
      </c>
      <c r="T27" s="10">
        <v>713.71624999999972</v>
      </c>
      <c r="U27">
        <v>2833.9862499999999</v>
      </c>
      <c r="V27" s="11">
        <v>122.69374999999999</v>
      </c>
    </row>
    <row r="28" spans="1:36" x14ac:dyDescent="0.35">
      <c r="A28" t="s">
        <v>38</v>
      </c>
      <c r="B28" s="16">
        <v>52.5</v>
      </c>
      <c r="C28" s="17">
        <v>39</v>
      </c>
      <c r="D28" s="18">
        <v>3.1</v>
      </c>
      <c r="P28" s="12">
        <v>-110.19156250000003</v>
      </c>
      <c r="Q28" s="13">
        <v>146.33906250000004</v>
      </c>
      <c r="R28" s="14">
        <v>144.78468749999999</v>
      </c>
      <c r="T28" s="12">
        <v>-272.65125</v>
      </c>
      <c r="U28" s="13">
        <v>122.69374999999999</v>
      </c>
      <c r="V28" s="14">
        <v>112.43624999999999</v>
      </c>
    </row>
    <row r="29" spans="1:36" x14ac:dyDescent="0.35">
      <c r="A29" t="s">
        <v>38</v>
      </c>
      <c r="B29" s="16">
        <v>80</v>
      </c>
      <c r="C29" s="17">
        <v>54.2</v>
      </c>
      <c r="D29" s="18">
        <v>4</v>
      </c>
    </row>
    <row r="30" spans="1:36" x14ac:dyDescent="0.35">
      <c r="A30" t="s">
        <v>38</v>
      </c>
      <c r="B30" s="16">
        <v>54.7</v>
      </c>
      <c r="C30" s="17">
        <v>32.1</v>
      </c>
      <c r="D30" s="18">
        <v>5.7</v>
      </c>
      <c r="P30" t="s">
        <v>49</v>
      </c>
      <c r="T30" t="s">
        <v>49</v>
      </c>
    </row>
    <row r="31" spans="1:36" x14ac:dyDescent="0.35">
      <c r="A31" t="s">
        <v>38</v>
      </c>
      <c r="B31" s="16">
        <v>63.5</v>
      </c>
      <c r="C31" s="17">
        <v>25.6</v>
      </c>
      <c r="D31" s="18">
        <v>3</v>
      </c>
    </row>
    <row r="32" spans="1:36" x14ac:dyDescent="0.35">
      <c r="A32" t="s">
        <v>38</v>
      </c>
      <c r="B32" s="16">
        <v>46.3</v>
      </c>
      <c r="C32" s="17">
        <v>31.8</v>
      </c>
      <c r="D32" s="18">
        <v>7.4</v>
      </c>
      <c r="P32" s="4" t="e">
        <f t="array" aca="1" ref="P32:R34" ca="1">COV(B4:D35)*(COUNT(B4:B35)-1)</f>
        <v>#NAME?</v>
      </c>
      <c r="Q32" s="9" t="e">
        <f ca="1"/>
        <v>#NAME?</v>
      </c>
      <c r="R32" s="5" t="e">
        <f ca="1"/>
        <v>#NAME?</v>
      </c>
      <c r="T32" s="4" t="e">
        <f t="array" aca="1" ref="T32:V34" ca="1">COVPooled(A4:D35)*(COUNT(B4:B35)-COUNT(G6:G9))</f>
        <v>#NAME?</v>
      </c>
      <c r="U32" s="9" t="e">
        <f ca="1"/>
        <v>#NAME?</v>
      </c>
      <c r="V32" s="5" t="e">
        <f ca="1"/>
        <v>#NAME?</v>
      </c>
    </row>
    <row r="33" spans="1:22" x14ac:dyDescent="0.35">
      <c r="A33" t="s">
        <v>38</v>
      </c>
      <c r="B33" s="16">
        <v>61.5</v>
      </c>
      <c r="C33" s="17">
        <v>16.8</v>
      </c>
      <c r="D33" s="18">
        <v>1.9</v>
      </c>
      <c r="P33" s="10" t="e">
        <f ca="1"/>
        <v>#NAME?</v>
      </c>
      <c r="Q33" t="e">
        <f ca="1"/>
        <v>#NAME?</v>
      </c>
      <c r="R33" s="11" t="e">
        <f ca="1"/>
        <v>#NAME?</v>
      </c>
      <c r="T33" s="10" t="e">
        <f ca="1"/>
        <v>#NAME?</v>
      </c>
      <c r="U33" t="e">
        <f ca="1"/>
        <v>#NAME?</v>
      </c>
      <c r="V33" s="11" t="e">
        <f ca="1"/>
        <v>#NAME?</v>
      </c>
    </row>
    <row r="34" spans="1:22" x14ac:dyDescent="0.35">
      <c r="A34" t="s">
        <v>38</v>
      </c>
      <c r="B34" s="16">
        <v>62.9</v>
      </c>
      <c r="C34" s="17">
        <v>25.8</v>
      </c>
      <c r="D34" s="18">
        <v>2.4</v>
      </c>
      <c r="P34" s="12" t="e">
        <f ca="1"/>
        <v>#NAME?</v>
      </c>
      <c r="Q34" s="13" t="e">
        <f ca="1"/>
        <v>#NAME?</v>
      </c>
      <c r="R34" s="14" t="e">
        <f ca="1"/>
        <v>#NAME?</v>
      </c>
      <c r="T34" s="12" t="e">
        <f ca="1"/>
        <v>#NAME?</v>
      </c>
      <c r="U34" s="13" t="e">
        <f ca="1"/>
        <v>#NAME?</v>
      </c>
      <c r="V34" s="14" t="e">
        <f ca="1"/>
        <v>#NAME?</v>
      </c>
    </row>
    <row r="35" spans="1:22" x14ac:dyDescent="0.35">
      <c r="A35" t="s">
        <v>38</v>
      </c>
      <c r="B35" s="28">
        <v>49.3</v>
      </c>
      <c r="C35" s="29">
        <v>39.4</v>
      </c>
      <c r="D35" s="30">
        <v>5.2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Manova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2025-10-26T16:59:49Z</dcterms:created>
  <dcterms:modified xsi:type="dcterms:W3CDTF">2025-10-26T17:02:13Z</dcterms:modified>
</cp:coreProperties>
</file>