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DCEA8E5-3AB0-46C8-87BF-4836EBA93AA6}" xr6:coauthVersionLast="47" xr6:coauthVersionMax="47" xr10:uidLastSave="{00000000-0000-0000-0000-000000000000}"/>
  <bookViews>
    <workbookView xWindow="-110" yWindow="-110" windowWidth="19420" windowHeight="10300" xr2:uid="{2A81205F-6C7D-42B5-8DFC-0230F028F0FE}"/>
  </bookViews>
  <sheets>
    <sheet name="Title" sheetId="4" r:id="rId1"/>
    <sheet name="Hotel 3" sheetId="2" r:id="rId2"/>
    <sheet name="Hotel 3a" sheetId="3" r:id="rId3"/>
    <sheet name="Box" sheetId="1" r:id="rId4"/>
  </sheets>
  <externalReferences>
    <externalReference r:id="rId5"/>
    <externalReference r:id="rId6"/>
    <externalReference r:id="rId7"/>
  </externalReferences>
  <definedNames>
    <definedName name="r_0">[3]Sheet17!$A$3:$A$264</definedName>
    <definedName name="r_1">[3]Sheet17!$B$3:$B$264</definedName>
    <definedName name="r_2">[3]Sheet17!$C$3:$C$264</definedName>
    <definedName name="r_3">[3]Sheet17!$D$3:$D$264</definedName>
    <definedName name="r_4">[3]Sheet17!$E$3:$E$264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3" l="1"/>
  <c r="J31" i="3"/>
  <c r="J30" i="3"/>
  <c r="J29" i="3"/>
  <c r="L28" i="3" a="1"/>
  <c r="M31" i="3" s="1"/>
  <c r="J28" i="3"/>
  <c r="F27" i="3"/>
  <c r="C25" i="3"/>
  <c r="B25" i="3"/>
  <c r="A25" i="3"/>
  <c r="A24" i="3"/>
  <c r="G23" i="3"/>
  <c r="F23" i="3"/>
  <c r="E23" i="3"/>
  <c r="C23" i="3"/>
  <c r="A23" i="3"/>
  <c r="G22" i="3"/>
  <c r="F22" i="3"/>
  <c r="E22" i="3"/>
  <c r="C22" i="3"/>
  <c r="B22" i="3"/>
  <c r="A22" i="3"/>
  <c r="G21" i="3"/>
  <c r="F21" i="3"/>
  <c r="E21" i="3"/>
  <c r="B21" i="3"/>
  <c r="A21" i="3"/>
  <c r="G20" i="3"/>
  <c r="F20" i="3"/>
  <c r="E20" i="3"/>
  <c r="C20" i="3"/>
  <c r="B20" i="3"/>
  <c r="A20" i="3"/>
  <c r="G19" i="3"/>
  <c r="F19" i="3"/>
  <c r="E19" i="3"/>
  <c r="C19" i="3"/>
  <c r="A19" i="3"/>
  <c r="G18" i="3"/>
  <c r="F18" i="3"/>
  <c r="E18" i="3"/>
  <c r="C18" i="3"/>
  <c r="A18" i="3"/>
  <c r="G17" i="3"/>
  <c r="F17" i="3"/>
  <c r="E17" i="3"/>
  <c r="C17" i="3"/>
  <c r="B17" i="3"/>
  <c r="A17" i="3"/>
  <c r="G16" i="3"/>
  <c r="F16" i="3"/>
  <c r="E16" i="3"/>
  <c r="B16" i="3"/>
  <c r="A16" i="3"/>
  <c r="G15" i="3"/>
  <c r="F15" i="3"/>
  <c r="E15" i="3"/>
  <c r="C15" i="3"/>
  <c r="A15" i="3"/>
  <c r="G14" i="3"/>
  <c r="F14" i="3"/>
  <c r="E14" i="3"/>
  <c r="B14" i="3"/>
  <c r="A14" i="3"/>
  <c r="G13" i="3"/>
  <c r="G27" i="3" s="1"/>
  <c r="F13" i="3"/>
  <c r="E13" i="3"/>
  <c r="C13" i="3"/>
  <c r="A13" i="3"/>
  <c r="G12" i="3"/>
  <c r="F12" i="3"/>
  <c r="E12" i="3"/>
  <c r="C12" i="3"/>
  <c r="B12" i="3"/>
  <c r="A12" i="3"/>
  <c r="M11" i="3" a="1"/>
  <c r="N11" i="3" s="1"/>
  <c r="I11" i="3" a="1"/>
  <c r="I12" i="3" s="1"/>
  <c r="G11" i="3"/>
  <c r="F11" i="3"/>
  <c r="E11" i="3"/>
  <c r="C11" i="3"/>
  <c r="A11" i="3"/>
  <c r="G10" i="3"/>
  <c r="F10" i="3"/>
  <c r="E10" i="3"/>
  <c r="C10" i="3"/>
  <c r="B10" i="3"/>
  <c r="A10" i="3"/>
  <c r="G9" i="3"/>
  <c r="F9" i="3"/>
  <c r="E9" i="3"/>
  <c r="B9" i="3"/>
  <c r="A9" i="3"/>
  <c r="G8" i="3"/>
  <c r="F8" i="3"/>
  <c r="E8" i="3"/>
  <c r="C8" i="3"/>
  <c r="A8" i="3"/>
  <c r="J7" i="3" s="1"/>
  <c r="G7" i="3"/>
  <c r="F7" i="3"/>
  <c r="E7" i="3"/>
  <c r="A7" i="3"/>
  <c r="G6" i="3"/>
  <c r="G28" i="3" s="1"/>
  <c r="F6" i="3"/>
  <c r="F28" i="3" s="1"/>
  <c r="E6" i="3"/>
  <c r="E27" i="3" s="1"/>
  <c r="K4" i="3" s="1" a="1"/>
  <c r="C6" i="3"/>
  <c r="C27" i="3" s="1"/>
  <c r="B6" i="3"/>
  <c r="B27" i="3" s="1"/>
  <c r="A6" i="3"/>
  <c r="A27" i="3" s="1"/>
  <c r="J4" i="3" s="1" a="1"/>
  <c r="J32" i="2"/>
  <c r="J31" i="2"/>
  <c r="J30" i="2"/>
  <c r="J29" i="2"/>
  <c r="J28" i="2"/>
  <c r="C25" i="2"/>
  <c r="B25" i="2"/>
  <c r="A25" i="2"/>
  <c r="C24" i="2"/>
  <c r="B24" i="2"/>
  <c r="A24" i="2"/>
  <c r="G23" i="2"/>
  <c r="F23" i="2"/>
  <c r="E23" i="2"/>
  <c r="C23" i="2"/>
  <c r="B23" i="2"/>
  <c r="A23" i="2"/>
  <c r="G22" i="2"/>
  <c r="F22" i="2"/>
  <c r="E22" i="2"/>
  <c r="C22" i="2"/>
  <c r="B22" i="2"/>
  <c r="A22" i="2"/>
  <c r="G21" i="2"/>
  <c r="F21" i="2"/>
  <c r="E21" i="2"/>
  <c r="C21" i="2"/>
  <c r="B21" i="2"/>
  <c r="A21" i="2"/>
  <c r="G20" i="2"/>
  <c r="F20" i="2"/>
  <c r="E20" i="2"/>
  <c r="C20" i="2"/>
  <c r="B20" i="2"/>
  <c r="A20" i="2"/>
  <c r="G19" i="2"/>
  <c r="F19" i="2"/>
  <c r="E19" i="2"/>
  <c r="C19" i="2"/>
  <c r="B19" i="2"/>
  <c r="A19" i="2"/>
  <c r="G18" i="2"/>
  <c r="F18" i="2"/>
  <c r="E18" i="2"/>
  <c r="C18" i="2"/>
  <c r="B18" i="2"/>
  <c r="A18" i="2"/>
  <c r="G17" i="2"/>
  <c r="F17" i="2"/>
  <c r="E17" i="2"/>
  <c r="C17" i="2"/>
  <c r="B17" i="2"/>
  <c r="A17" i="2"/>
  <c r="A28" i="2" s="1"/>
  <c r="J16" i="2"/>
  <c r="J19" i="2" s="1"/>
  <c r="G16" i="2"/>
  <c r="F16" i="2"/>
  <c r="E16" i="2"/>
  <c r="C16" i="2"/>
  <c r="B16" i="2"/>
  <c r="A16" i="2"/>
  <c r="G15" i="2"/>
  <c r="F15" i="2"/>
  <c r="E15" i="2"/>
  <c r="C15" i="2"/>
  <c r="B15" i="2"/>
  <c r="A15" i="2"/>
  <c r="G14" i="2"/>
  <c r="F14" i="2"/>
  <c r="E14" i="2"/>
  <c r="C14" i="2"/>
  <c r="B14" i="2"/>
  <c r="A14" i="2"/>
  <c r="G13" i="2"/>
  <c r="F13" i="2"/>
  <c r="E13" i="2"/>
  <c r="C13" i="2"/>
  <c r="B13" i="2"/>
  <c r="A13" i="2"/>
  <c r="G12" i="2"/>
  <c r="F12" i="2"/>
  <c r="E12" i="2"/>
  <c r="C12" i="2"/>
  <c r="B12" i="2"/>
  <c r="A12" i="2"/>
  <c r="M11" i="2" a="1"/>
  <c r="O13" i="2" s="1"/>
  <c r="I11" i="2" a="1"/>
  <c r="J13" i="2" s="1"/>
  <c r="G11" i="2"/>
  <c r="F11" i="2"/>
  <c r="E11" i="2"/>
  <c r="C11" i="2"/>
  <c r="B11" i="2"/>
  <c r="A11" i="2"/>
  <c r="G10" i="2"/>
  <c r="F10" i="2"/>
  <c r="E10" i="2"/>
  <c r="C10" i="2"/>
  <c r="B10" i="2"/>
  <c r="A10" i="2"/>
  <c r="G9" i="2"/>
  <c r="F9" i="2"/>
  <c r="E9" i="2"/>
  <c r="C9" i="2"/>
  <c r="B9" i="2"/>
  <c r="A9" i="2"/>
  <c r="G8" i="2"/>
  <c r="F8" i="2"/>
  <c r="E8" i="2"/>
  <c r="K7" i="2" s="1"/>
  <c r="C8" i="2"/>
  <c r="B8" i="2"/>
  <c r="B28" i="2" s="1"/>
  <c r="A8" i="2"/>
  <c r="G7" i="2"/>
  <c r="F7" i="2"/>
  <c r="E7" i="2"/>
  <c r="C7" i="2"/>
  <c r="B7" i="2"/>
  <c r="A7" i="2"/>
  <c r="G6" i="2"/>
  <c r="G28" i="2" s="1"/>
  <c r="F6" i="2"/>
  <c r="F27" i="2" s="1"/>
  <c r="E6" i="2"/>
  <c r="E27" i="2" s="1"/>
  <c r="C6" i="2"/>
  <c r="C27" i="2" s="1"/>
  <c r="B6" i="2"/>
  <c r="B27" i="2" s="1"/>
  <c r="A6" i="2"/>
  <c r="J7" i="2" s="1"/>
  <c r="A15" i="1"/>
  <c r="C13" i="1"/>
  <c r="B13" i="1"/>
  <c r="A13" i="1"/>
  <c r="S12" i="1" a="1"/>
  <c r="U14" i="1" s="1"/>
  <c r="C12" i="1"/>
  <c r="B12" i="1"/>
  <c r="A12" i="1"/>
  <c r="C11" i="1"/>
  <c r="B11" i="1"/>
  <c r="A11" i="1"/>
  <c r="P6" i="1" s="1"/>
  <c r="W9" i="1"/>
  <c r="A9" i="1"/>
  <c r="W8" i="1"/>
  <c r="W7" i="1"/>
  <c r="T7" i="1"/>
  <c r="C7" i="1"/>
  <c r="B7" i="1"/>
  <c r="A7" i="1"/>
  <c r="W6" i="1"/>
  <c r="T6" i="1"/>
  <c r="C6" i="1"/>
  <c r="B6" i="1"/>
  <c r="A6" i="1"/>
  <c r="W5" i="1"/>
  <c r="T5" i="1"/>
  <c r="P5" i="1"/>
  <c r="I5" i="1"/>
  <c r="Q6" i="1" s="1"/>
  <c r="F5" i="1"/>
  <c r="C5" i="1"/>
  <c r="B5" i="1"/>
  <c r="L4" i="1" s="1"/>
  <c r="M4" i="1" s="1"/>
  <c r="N4" i="1" s="1"/>
  <c r="A5" i="1"/>
  <c r="I4" i="1"/>
  <c r="Q5" i="1" s="1"/>
  <c r="A3" i="1"/>
  <c r="M28" i="3" l="1"/>
  <c r="L31" i="3"/>
  <c r="L32" i="3"/>
  <c r="L30" i="3"/>
  <c r="L29" i="3"/>
  <c r="M29" i="3"/>
  <c r="M30" i="3"/>
  <c r="M32" i="3"/>
  <c r="J12" i="3"/>
  <c r="K13" i="3"/>
  <c r="K11" i="2"/>
  <c r="K12" i="3"/>
  <c r="I12" i="2"/>
  <c r="I13" i="3"/>
  <c r="J13" i="3"/>
  <c r="O13" i="3"/>
  <c r="L28" i="3"/>
  <c r="M11" i="2"/>
  <c r="N11" i="2"/>
  <c r="O11" i="2"/>
  <c r="M12" i="2"/>
  <c r="O11" i="3"/>
  <c r="N12" i="2"/>
  <c r="M12" i="3"/>
  <c r="O12" i="2"/>
  <c r="I11" i="3"/>
  <c r="N12" i="3"/>
  <c r="M13" i="2"/>
  <c r="J11" i="3"/>
  <c r="O12" i="3"/>
  <c r="I11" i="2"/>
  <c r="N13" i="2"/>
  <c r="K11" i="3"/>
  <c r="M13" i="3"/>
  <c r="J11" i="2"/>
  <c r="N13" i="3"/>
  <c r="J6" i="3"/>
  <c r="L6" i="3" s="1"/>
  <c r="J5" i="3"/>
  <c r="L5" i="3" s="1"/>
  <c r="J4" i="3"/>
  <c r="K6" i="3"/>
  <c r="K5" i="3"/>
  <c r="K4" i="3"/>
  <c r="J15" i="2"/>
  <c r="J15" i="3"/>
  <c r="U12" i="1"/>
  <c r="K12" i="2"/>
  <c r="E28" i="2"/>
  <c r="E28" i="3"/>
  <c r="A28" i="3"/>
  <c r="I13" i="2"/>
  <c r="F28" i="2"/>
  <c r="J16" i="3"/>
  <c r="J19" i="3" s="1"/>
  <c r="T12" i="1"/>
  <c r="C28" i="3"/>
  <c r="K13" i="2"/>
  <c r="A27" i="2"/>
  <c r="J4" i="2" s="1" a="1"/>
  <c r="M11" i="3"/>
  <c r="G27" i="2"/>
  <c r="K4" i="2" s="1" a="1"/>
  <c r="S12" i="1"/>
  <c r="B28" i="3"/>
  <c r="J12" i="2"/>
  <c r="C28" i="2"/>
  <c r="K7" i="3"/>
  <c r="J5" i="1"/>
  <c r="K5" i="1" s="1"/>
  <c r="F6" i="1"/>
  <c r="S13" i="1"/>
  <c r="I6" i="1"/>
  <c r="J6" i="1" s="1"/>
  <c r="T13" i="1"/>
  <c r="J4" i="1"/>
  <c r="K4" i="1" s="1"/>
  <c r="L5" i="1"/>
  <c r="M5" i="1" s="1"/>
  <c r="N5" i="1" s="1"/>
  <c r="U13" i="1"/>
  <c r="S14" i="1"/>
  <c r="T14" i="1"/>
  <c r="A17" i="1" a="1"/>
  <c r="Q11" i="2" l="1" a="1"/>
  <c r="Q12" i="2" s="1"/>
  <c r="Q11" i="3" a="1"/>
  <c r="S12" i="3" s="1"/>
  <c r="K5" i="2"/>
  <c r="K6" i="2"/>
  <c r="K4" i="2"/>
  <c r="J4" i="2"/>
  <c r="L4" i="2" s="1"/>
  <c r="J6" i="2"/>
  <c r="L6" i="2" s="1"/>
  <c r="J5" i="2"/>
  <c r="L5" i="2" s="1"/>
  <c r="L4" i="3"/>
  <c r="C17" i="1"/>
  <c r="B17" i="1"/>
  <c r="A17" i="1"/>
  <c r="C19" i="1"/>
  <c r="B19" i="1"/>
  <c r="A19" i="1"/>
  <c r="C18" i="1"/>
  <c r="B18" i="1"/>
  <c r="A18" i="1"/>
  <c r="K6" i="1"/>
  <c r="K7" i="1" s="1"/>
  <c r="I11" i="1" s="1"/>
  <c r="J7" i="1"/>
  <c r="F12" i="1"/>
  <c r="F14" i="1"/>
  <c r="R12" i="2" l="1"/>
  <c r="Q13" i="2"/>
  <c r="Q11" i="2"/>
  <c r="Q17" i="2" s="1" a="1"/>
  <c r="Q19" i="2" s="1"/>
  <c r="S13" i="2"/>
  <c r="Q13" i="3"/>
  <c r="S11" i="2"/>
  <c r="Q11" i="3"/>
  <c r="Q17" i="3" s="1" a="1"/>
  <c r="R19" i="3" s="1"/>
  <c r="S11" i="3"/>
  <c r="R13" i="3"/>
  <c r="S12" i="2"/>
  <c r="R13" i="2"/>
  <c r="R11" i="2"/>
  <c r="S13" i="3"/>
  <c r="R11" i="3"/>
  <c r="Q12" i="3"/>
  <c r="R12" i="3"/>
  <c r="R17" i="3"/>
  <c r="R17" i="2"/>
  <c r="Q17" i="2"/>
  <c r="J17" i="2" s="1" a="1"/>
  <c r="J17" i="2" s="1"/>
  <c r="Q18" i="2"/>
  <c r="S17" i="2"/>
  <c r="L6" i="1"/>
  <c r="M6" i="1" s="1"/>
  <c r="N6" i="1" s="1"/>
  <c r="N7" i="1" s="1"/>
  <c r="F11" i="1" s="1"/>
  <c r="I12" i="1"/>
  <c r="F17" i="1"/>
  <c r="I13" i="1"/>
  <c r="S19" i="3" l="1"/>
  <c r="S17" i="3"/>
  <c r="R18" i="3"/>
  <c r="R18" i="2"/>
  <c r="Q18" i="3"/>
  <c r="R19" i="2"/>
  <c r="S19" i="2"/>
  <c r="Q17" i="3"/>
  <c r="J17" i="3" s="1" a="1"/>
  <c r="J17" i="3" s="1"/>
  <c r="J20" i="3" s="1" a="1"/>
  <c r="J20" i="3" s="1"/>
  <c r="J22" i="3" s="1"/>
  <c r="S18" i="2"/>
  <c r="S18" i="3"/>
  <c r="Q19" i="3"/>
  <c r="J20" i="2" a="1"/>
  <c r="J20" i="2" s="1"/>
  <c r="J22" i="2" s="1"/>
  <c r="J18" i="2"/>
  <c r="I14" i="1"/>
  <c r="I16" i="1" s="1"/>
  <c r="I19" i="1"/>
  <c r="I15" i="1"/>
  <c r="I17" i="1" s="1"/>
  <c r="I18" i="1" s="1"/>
  <c r="I20" i="1" s="1"/>
  <c r="F13" i="1"/>
  <c r="F15" i="1" s="1"/>
  <c r="F18" i="1" s="1"/>
  <c r="J18" i="3" l="1"/>
  <c r="J23" i="3" s="1"/>
  <c r="J24" i="3" s="1"/>
  <c r="J23" i="2"/>
  <c r="J24" i="2" s="1"/>
</calcChain>
</file>

<file path=xl/sharedStrings.xml><?xml version="1.0" encoding="utf-8"?>
<sst xmlns="http://schemas.openxmlformats.org/spreadsheetml/2006/main" count="128" uniqueCount="59">
  <si>
    <t>Box's Test</t>
  </si>
  <si>
    <t>Supplemental functions</t>
  </si>
  <si>
    <t>nn = n-1</t>
  </si>
  <si>
    <t>1/nn</t>
  </si>
  <si>
    <t>1/nn^2</t>
  </si>
  <si>
    <t>det</t>
  </si>
  <si>
    <t>ln det</t>
  </si>
  <si>
    <t>nn*ln det</t>
  </si>
  <si>
    <t>Input</t>
  </si>
  <si>
    <t>Chi-square Test</t>
  </si>
  <si>
    <t>F Test</t>
  </si>
  <si>
    <t>Drug</t>
  </si>
  <si>
    <t>m</t>
  </si>
  <si>
    <t>Placebo</t>
  </si>
  <si>
    <t>M</t>
  </si>
  <si>
    <t>k</t>
  </si>
  <si>
    <t>Pooled</t>
  </si>
  <si>
    <t>df</t>
  </si>
  <si>
    <t>F value</t>
  </si>
  <si>
    <t>Diff</t>
  </si>
  <si>
    <t>p-value</t>
  </si>
  <si>
    <t>df1</t>
  </si>
  <si>
    <t>=A5</t>
  </si>
  <si>
    <t>df2</t>
  </si>
  <si>
    <t>=A11</t>
  </si>
  <si>
    <t>Pooled Covariance Matrix</t>
  </si>
  <si>
    <t>c2</t>
  </si>
  <si>
    <t>c</t>
  </si>
  <si>
    <t>χ2</t>
  </si>
  <si>
    <t>a+</t>
  </si>
  <si>
    <t>a-</t>
  </si>
  <si>
    <t>F+</t>
  </si>
  <si>
    <t>α</t>
  </si>
  <si>
    <t>F-</t>
  </si>
  <si>
    <t>χ2-crit</t>
  </si>
  <si>
    <t>F</t>
  </si>
  <si>
    <t>sig</t>
  </si>
  <si>
    <t>F-crit</t>
  </si>
  <si>
    <t>Hotelling T-square: Independent Samples</t>
  </si>
  <si>
    <t>Fever</t>
  </si>
  <si>
    <t>Pressure</t>
  </si>
  <si>
    <t>Aches</t>
  </si>
  <si>
    <t>Count</t>
  </si>
  <si>
    <t>Covariance - Drug</t>
  </si>
  <si>
    <t>Covariance - Placebo</t>
  </si>
  <si>
    <t>Covariance - Pooled</t>
  </si>
  <si>
    <t>n</t>
  </si>
  <si>
    <t>Inverse of Pooled Covariance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</si>
  <si>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</si>
  <si>
    <t>P-value</t>
  </si>
  <si>
    <t>Real Statistics formula</t>
  </si>
  <si>
    <t>mean</t>
  </si>
  <si>
    <t>var</t>
  </si>
  <si>
    <t>Means</t>
  </si>
  <si>
    <t>Using supplemental function</t>
  </si>
  <si>
    <t>Real Statistics Using Excel</t>
  </si>
  <si>
    <t>Updated</t>
  </si>
  <si>
    <t>Copyright © 2013 - 2025 Charles Zaiontz</t>
  </si>
  <si>
    <t>Hotelling's T-square Test with Unequal Covariance Matrices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</si>
</sst>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quotePrefix="1" applyBorder="1"/>
    <xf numFmtId="0" fontId="0" fillId="0" borderId="3" xfId="0" quotePrefix="1" applyBorder="1"/>
    <xf numFmtId="0" fontId="0" fillId="0" borderId="9" xfId="0" quotePrefix="1" applyBorder="1"/>
    <xf numFmtId="0" fontId="0" fillId="0" borderId="10" xfId="0" quotePrefix="1" applyBorder="1"/>
    <xf numFmtId="0" fontId="2" fillId="0" borderId="0" xfId="0" applyFont="1"/>
    <xf numFmtId="0" fontId="0" fillId="0" borderId="7" xfId="0" applyBorder="1" applyAlignment="1">
      <alignment horizontal="right"/>
    </xf>
    <xf numFmtId="0" fontId="0" fillId="0" borderId="0" xfId="0" applyAlignment="1">
      <alignment horizontal="left"/>
    </xf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Multivariate%20Examples.xlsx" TargetMode="External"/><Relationship Id="rId1" Type="http://schemas.openxmlformats.org/officeDocument/2006/relationships/externalLinkPath" Target="/38f5cd2f1f925cfd/Documenti/A%20Real%20Statistics%202020/Examples/Real%20Statistics%20Multivariate%20Examp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.xlam" TargetMode="External"/><Relationship Id="rId1" Type="http://schemas.openxmlformats.org/officeDocument/2006/relationships/externalLinkPath" Target="file:///C:\Users\Charles\AppData\Roaming\Microsoft\AddIns\XRealStats.xla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Desc"/>
      <sheetName val="Ellipse"/>
      <sheetName val="Ellipse 2"/>
      <sheetName val="Bivar"/>
      <sheetName val="Bivar 1"/>
      <sheetName val="FR"/>
      <sheetName val="FRSJ"/>
      <sheetName val="Hotel 1"/>
      <sheetName val="Hotel 2P"/>
      <sheetName val="Hotel 2"/>
      <sheetName val="Hotel 2a"/>
      <sheetName val="Hotel 2b"/>
      <sheetName val="Hotel 3"/>
      <sheetName val="Hotel 3a"/>
      <sheetName val="Hotel 3b"/>
      <sheetName val="Rep Measures 1"/>
      <sheetName val="Rep 2W a"/>
      <sheetName val="Rep 2W b"/>
      <sheetName val="Rep 2W c"/>
      <sheetName val="Rep Measures 2"/>
      <sheetName val="Rep Measures 3"/>
      <sheetName val="Rep 2W+1B"/>
      <sheetName val="Hot1 Power"/>
      <sheetName val="Hot2 Power"/>
      <sheetName val="Box 2"/>
      <sheetName val="Box 2a"/>
      <sheetName val="Box 3a"/>
      <sheetName val="Box 3b"/>
      <sheetName val="Manova 1"/>
      <sheetName val="Manova 1a"/>
      <sheetName val="Manova 1b"/>
      <sheetName val="Manova 1c"/>
      <sheetName val="Manova 1d"/>
      <sheetName val="Manova 1e"/>
      <sheetName val="Manova 1f"/>
      <sheetName val="Manova 1g"/>
      <sheetName val="Manova 1h"/>
      <sheetName val="Manova 1i"/>
      <sheetName val="Manova 1j"/>
      <sheetName val="Manova 1k"/>
      <sheetName val="Manova2"/>
      <sheetName val="Man Power"/>
      <sheetName val="Man2 Power"/>
      <sheetName val="PMANOVA1"/>
      <sheetName val="PMANOVA2"/>
      <sheetName val="PMANOVA3"/>
      <sheetName val="PANOVA"/>
      <sheetName val="Box"/>
      <sheetName val="PCA"/>
      <sheetName val="Factor"/>
      <sheetName val="Box Factor"/>
      <sheetName val="KMO"/>
      <sheetName val="Clust 1"/>
      <sheetName val="Clust 2"/>
      <sheetName val="Clust 3"/>
      <sheetName val="Clust 3a"/>
      <sheetName val="Clust 3b"/>
      <sheetName val="Clust A"/>
      <sheetName val="Clust B"/>
      <sheetName val="Clust C"/>
      <sheetName val="Clust D"/>
      <sheetName val="Clust E"/>
      <sheetName val="Clust E1"/>
      <sheetName val="Clust F"/>
      <sheetName val="Jenks 1"/>
      <sheetName val="Jenks 2"/>
      <sheetName val="Jenks 3"/>
      <sheetName val="Jenks 4"/>
      <sheetName val="Discrim 1"/>
      <sheetName val="Discrim 2"/>
      <sheetName val="Discrim 3"/>
      <sheetName val="Discrim 4"/>
      <sheetName val="CA 1"/>
      <sheetName val="CA 2"/>
      <sheetName val="CA 3"/>
      <sheetName val="CA 4"/>
      <sheetName val="Fact PCA"/>
      <sheetName val="PAF Comm"/>
      <sheetName val="Fact P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A6">
            <v>36.5</v>
          </cell>
          <cell r="B6">
            <v>72</v>
          </cell>
          <cell r="C6">
            <v>18</v>
          </cell>
          <cell r="E6">
            <v>40.9</v>
          </cell>
          <cell r="F6">
            <v>54</v>
          </cell>
          <cell r="G6">
            <v>14</v>
          </cell>
        </row>
        <row r="7">
          <cell r="A7">
            <v>36.6</v>
          </cell>
          <cell r="B7">
            <v>84</v>
          </cell>
          <cell r="C7">
            <v>16</v>
          </cell>
          <cell r="E7">
            <v>39.5</v>
          </cell>
          <cell r="F7">
            <v>75</v>
          </cell>
          <cell r="G7">
            <v>18</v>
          </cell>
          <cell r="J7">
            <v>20</v>
          </cell>
          <cell r="K7">
            <v>18</v>
          </cell>
        </row>
        <row r="8">
          <cell r="A8">
            <v>38.200000000000003</v>
          </cell>
          <cell r="B8">
            <v>60</v>
          </cell>
          <cell r="C8">
            <v>29</v>
          </cell>
          <cell r="E8">
            <v>39.4</v>
          </cell>
          <cell r="F8">
            <v>57</v>
          </cell>
          <cell r="G8">
            <v>24</v>
          </cell>
        </row>
        <row r="9">
          <cell r="A9">
            <v>37.6</v>
          </cell>
          <cell r="B9">
            <v>82</v>
          </cell>
          <cell r="C9">
            <v>13</v>
          </cell>
          <cell r="E9">
            <v>38.200000000000003</v>
          </cell>
          <cell r="F9">
            <v>71</v>
          </cell>
          <cell r="G9">
            <v>24</v>
          </cell>
          <cell r="I9" t="str">
            <v>Covariance - Drug</v>
          </cell>
          <cell r="M9" t="str">
            <v>Covariance - Placebo</v>
          </cell>
          <cell r="Q9" t="str">
            <v>Covariance - Pooled</v>
          </cell>
        </row>
        <row r="10">
          <cell r="A10">
            <v>37</v>
          </cell>
          <cell r="B10">
            <v>68</v>
          </cell>
          <cell r="C10">
            <v>25</v>
          </cell>
          <cell r="E10">
            <v>39.700000000000003</v>
          </cell>
          <cell r="F10">
            <v>65</v>
          </cell>
          <cell r="G10">
            <v>22</v>
          </cell>
        </row>
        <row r="11">
          <cell r="A11">
            <v>37.9</v>
          </cell>
          <cell r="B11">
            <v>54</v>
          </cell>
          <cell r="C11">
            <v>27</v>
          </cell>
          <cell r="E11">
            <v>38.9</v>
          </cell>
          <cell r="F11">
            <v>49</v>
          </cell>
          <cell r="G11">
            <v>30</v>
          </cell>
        </row>
        <row r="12">
          <cell r="A12">
            <v>37.4</v>
          </cell>
          <cell r="B12">
            <v>80</v>
          </cell>
          <cell r="C12">
            <v>25</v>
          </cell>
          <cell r="E12">
            <v>38.6</v>
          </cell>
          <cell r="F12">
            <v>58</v>
          </cell>
          <cell r="G12">
            <v>25</v>
          </cell>
        </row>
        <row r="13">
          <cell r="A13">
            <v>35.200000000000003</v>
          </cell>
          <cell r="B13">
            <v>99</v>
          </cell>
          <cell r="C13">
            <v>8</v>
          </cell>
          <cell r="E13">
            <v>39.9</v>
          </cell>
          <cell r="F13">
            <v>52</v>
          </cell>
          <cell r="G13">
            <v>17</v>
          </cell>
        </row>
        <row r="14">
          <cell r="A14">
            <v>38.200000000000003</v>
          </cell>
          <cell r="B14">
            <v>65</v>
          </cell>
          <cell r="C14">
            <v>21</v>
          </cell>
          <cell r="E14">
            <v>41.3</v>
          </cell>
          <cell r="F14">
            <v>62</v>
          </cell>
          <cell r="G14">
            <v>18</v>
          </cell>
        </row>
        <row r="15">
          <cell r="A15">
            <v>37.5</v>
          </cell>
          <cell r="B15">
            <v>55</v>
          </cell>
          <cell r="C15">
            <v>11</v>
          </cell>
          <cell r="E15">
            <v>38.1</v>
          </cell>
          <cell r="F15">
            <v>57</v>
          </cell>
          <cell r="G15">
            <v>20</v>
          </cell>
        </row>
        <row r="16">
          <cell r="A16">
            <v>35.799999999999997</v>
          </cell>
          <cell r="B16">
            <v>70</v>
          </cell>
          <cell r="C16">
            <v>16</v>
          </cell>
          <cell r="E16">
            <v>39.6</v>
          </cell>
          <cell r="F16">
            <v>78</v>
          </cell>
          <cell r="G16">
            <v>19</v>
          </cell>
        </row>
        <row r="17">
          <cell r="A17">
            <v>37.4</v>
          </cell>
          <cell r="B17">
            <v>76</v>
          </cell>
          <cell r="C17">
            <v>13</v>
          </cell>
          <cell r="E17">
            <v>37.1</v>
          </cell>
          <cell r="F17">
            <v>92</v>
          </cell>
          <cell r="G17">
            <v>15</v>
          </cell>
        </row>
        <row r="18">
          <cell r="A18">
            <v>37.200000000000003</v>
          </cell>
          <cell r="B18">
            <v>49</v>
          </cell>
          <cell r="C18">
            <v>29</v>
          </cell>
          <cell r="E18">
            <v>39.5</v>
          </cell>
          <cell r="F18">
            <v>63</v>
          </cell>
          <cell r="G18">
            <v>13</v>
          </cell>
        </row>
        <row r="19">
          <cell r="A19">
            <v>36.5</v>
          </cell>
          <cell r="B19">
            <v>59</v>
          </cell>
          <cell r="C19">
            <v>24</v>
          </cell>
          <cell r="E19">
            <v>40.299999999999997</v>
          </cell>
          <cell r="F19">
            <v>52</v>
          </cell>
          <cell r="G19">
            <v>25</v>
          </cell>
        </row>
        <row r="20">
          <cell r="A20">
            <v>38.299999999999997</v>
          </cell>
          <cell r="B20">
            <v>77</v>
          </cell>
          <cell r="C20">
            <v>12</v>
          </cell>
          <cell r="E20">
            <v>41.5</v>
          </cell>
          <cell r="F20">
            <v>46</v>
          </cell>
          <cell r="G20">
            <v>27</v>
          </cell>
        </row>
        <row r="21">
          <cell r="A21">
            <v>37.5</v>
          </cell>
          <cell r="B21">
            <v>66</v>
          </cell>
          <cell r="C21">
            <v>19</v>
          </cell>
          <cell r="E21">
            <v>39.299999999999997</v>
          </cell>
          <cell r="F21">
            <v>56</v>
          </cell>
          <cell r="G21">
            <v>14</v>
          </cell>
        </row>
        <row r="22">
          <cell r="A22">
            <v>36</v>
          </cell>
          <cell r="B22">
            <v>79</v>
          </cell>
          <cell r="C22">
            <v>14</v>
          </cell>
          <cell r="E22">
            <v>37.6</v>
          </cell>
          <cell r="F22">
            <v>86</v>
          </cell>
          <cell r="G22">
            <v>16</v>
          </cell>
        </row>
        <row r="23">
          <cell r="A23">
            <v>36.9</v>
          </cell>
          <cell r="B23">
            <v>67</v>
          </cell>
          <cell r="C23">
            <v>12</v>
          </cell>
          <cell r="E23">
            <v>40.6</v>
          </cell>
          <cell r="F23">
            <v>48</v>
          </cell>
          <cell r="G23">
            <v>21</v>
          </cell>
        </row>
        <row r="24">
          <cell r="A24">
            <v>39.299999999999997</v>
          </cell>
          <cell r="B24">
            <v>53</v>
          </cell>
          <cell r="C24">
            <v>7</v>
          </cell>
        </row>
        <row r="25">
          <cell r="A25">
            <v>38.799999999999997</v>
          </cell>
          <cell r="B25">
            <v>67</v>
          </cell>
          <cell r="C25">
            <v>13</v>
          </cell>
        </row>
      </sheetData>
      <sheetData sheetId="13"/>
      <sheetData sheetId="14"/>
      <sheetData sheetId="15">
        <row r="11">
          <cell r="I11">
            <v>1.0419999999999989</v>
          </cell>
          <cell r="J11">
            <v>-2.7947368421052605</v>
          </cell>
          <cell r="K11">
            <v>0.35842105263158314</v>
          </cell>
          <cell r="M11">
            <v>1.4967320261437886</v>
          </cell>
          <cell r="N11">
            <v>-10.430718954248354</v>
          </cell>
          <cell r="O11">
            <v>0.64771241830065429</v>
          </cell>
        </row>
        <row r="12">
          <cell r="I12">
            <v>-2.7947368421052605</v>
          </cell>
          <cell r="J12">
            <v>59.94736842105263</v>
          </cell>
          <cell r="K12">
            <v>-7.8157894736842097</v>
          </cell>
          <cell r="M12">
            <v>-10.430718954248354</v>
          </cell>
          <cell r="N12">
            <v>175.15359477124181</v>
          </cell>
          <cell r="O12">
            <v>-28.562091503267972</v>
          </cell>
        </row>
        <row r="13">
          <cell r="I13">
            <v>0.35842105263158314</v>
          </cell>
          <cell r="J13">
            <v>-7.8157894736842097</v>
          </cell>
          <cell r="K13">
            <v>89.102631578947353</v>
          </cell>
          <cell r="M13">
            <v>0.64771241830065429</v>
          </cell>
          <cell r="N13">
            <v>-28.562091503267972</v>
          </cell>
          <cell r="O13">
            <v>24.457516339869276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"/>
    </sheetNames>
    <definedNames>
      <definedName name="BOXdf1"/>
      <definedName name="BOXdf2"/>
      <definedName name="BOXF"/>
      <definedName name="BOXM"/>
      <definedName name="BOXTEST"/>
      <definedName name="COV"/>
      <definedName name="COVPooled"/>
      <definedName name="Hotelling"/>
      <definedName name="Hotellingdf1"/>
      <definedName name="Hotellingdf2"/>
      <definedName name="HotellingF"/>
      <definedName name="HotellingT2"/>
      <definedName name="T2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0D8-298A-43C8-91FD-6BD60CD932BA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55</v>
      </c>
    </row>
    <row r="2" spans="1:2" x14ac:dyDescent="0.35">
      <c r="A2" t="s">
        <v>58</v>
      </c>
    </row>
    <row r="4" spans="1:2" x14ac:dyDescent="0.35">
      <c r="A4" t="s">
        <v>56</v>
      </c>
      <c r="B4" s="25">
        <v>45958</v>
      </c>
    </row>
    <row r="6" spans="1:2" x14ac:dyDescent="0.35">
      <c r="A6" s="26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A7DF-4F9F-4A30-AFA9-571788EB149D}">
  <dimension ref="A1:S32"/>
  <sheetViews>
    <sheetView workbookViewId="0"/>
  </sheetViews>
  <sheetFormatPr defaultRowHeight="14.5" x14ac:dyDescent="0.35"/>
  <sheetData>
    <row r="1" spans="1:19" x14ac:dyDescent="0.35">
      <c r="A1" s="1" t="s">
        <v>38</v>
      </c>
    </row>
    <row r="3" spans="1:19" x14ac:dyDescent="0.35">
      <c r="A3" t="s">
        <v>11</v>
      </c>
      <c r="E3" t="s">
        <v>13</v>
      </c>
      <c r="J3" s="16" t="s">
        <v>11</v>
      </c>
      <c r="K3" s="16" t="s">
        <v>13</v>
      </c>
      <c r="L3" s="16" t="s">
        <v>19</v>
      </c>
    </row>
    <row r="4" spans="1:19" x14ac:dyDescent="0.35">
      <c r="I4" t="s">
        <v>39</v>
      </c>
      <c r="J4" s="5">
        <f t="array" ref="J4:J6">TRANSPOSE(A27:C27)</f>
        <v>37.289999999999992</v>
      </c>
      <c r="K4" s="6">
        <f t="array" ref="K4:K6">TRANSPOSE(E27:G27)</f>
        <v>39.444444444444443</v>
      </c>
      <c r="L4" s="7">
        <f>J4-K4</f>
        <v>-2.1544444444444508</v>
      </c>
    </row>
    <row r="5" spans="1:19" x14ac:dyDescent="0.35">
      <c r="A5" s="16" t="s">
        <v>39</v>
      </c>
      <c r="B5" s="16" t="s">
        <v>40</v>
      </c>
      <c r="C5" s="16" t="s">
        <v>41</v>
      </c>
      <c r="D5" s="16"/>
      <c r="E5" s="16" t="s">
        <v>39</v>
      </c>
      <c r="F5" s="16" t="s">
        <v>40</v>
      </c>
      <c r="G5" s="16" t="s">
        <v>41</v>
      </c>
      <c r="I5" s="24" t="s">
        <v>40</v>
      </c>
      <c r="J5" s="8">
        <v>69.099999999999994</v>
      </c>
      <c r="K5" s="9">
        <v>62.277777777777779</v>
      </c>
      <c r="L5" s="15">
        <f>J5-K5</f>
        <v>6.8222222222222157</v>
      </c>
    </row>
    <row r="6" spans="1:19" x14ac:dyDescent="0.35">
      <c r="A6" s="5">
        <f>'[1]Hotel 2a'!A6</f>
        <v>36.5</v>
      </c>
      <c r="B6" s="4">
        <f>'[1]Hotel 2a'!B6</f>
        <v>72</v>
      </c>
      <c r="C6" s="6">
        <f>'[1]Hotel 2a'!C6</f>
        <v>18</v>
      </c>
      <c r="E6" s="5">
        <f>'[1]Hotel 2a'!E6</f>
        <v>40.9</v>
      </c>
      <c r="F6" s="4">
        <f>'[1]Hotel 2a'!F6</f>
        <v>54</v>
      </c>
      <c r="G6" s="6">
        <f>'[1]Hotel 2a'!G6</f>
        <v>14</v>
      </c>
      <c r="I6" t="s">
        <v>41</v>
      </c>
      <c r="J6" s="13">
        <v>17.600000000000001</v>
      </c>
      <c r="K6" s="14">
        <v>20.111111111111111</v>
      </c>
      <c r="L6" s="10">
        <f>J6-K6</f>
        <v>-2.5111111111111093</v>
      </c>
    </row>
    <row r="7" spans="1:19" x14ac:dyDescent="0.35">
      <c r="A7" s="8">
        <f>'[1]Hotel 2a'!A7</f>
        <v>36.6</v>
      </c>
      <c r="B7">
        <f>'[1]Hotel 2a'!B7</f>
        <v>84</v>
      </c>
      <c r="C7" s="9">
        <f>'[1]Hotel 2a'!C7</f>
        <v>16</v>
      </c>
      <c r="E7" s="8">
        <f>'[1]Hotel 2a'!E7</f>
        <v>39.5</v>
      </c>
      <c r="F7">
        <f>'[1]Hotel 2a'!F7</f>
        <v>75</v>
      </c>
      <c r="G7" s="9">
        <f>'[1]Hotel 2a'!G7</f>
        <v>18</v>
      </c>
      <c r="I7" t="s">
        <v>42</v>
      </c>
      <c r="J7">
        <f>COUNT(A6:A25)</f>
        <v>20</v>
      </c>
      <c r="K7">
        <f>COUNT(E6:E25)</f>
        <v>18</v>
      </c>
    </row>
    <row r="8" spans="1:19" x14ac:dyDescent="0.35">
      <c r="A8" s="8">
        <f>'[1]Hotel 2a'!A8</f>
        <v>38.200000000000003</v>
      </c>
      <c r="B8">
        <f>'[1]Hotel 2a'!B8</f>
        <v>60</v>
      </c>
      <c r="C8" s="9">
        <f>'[1]Hotel 2a'!C8</f>
        <v>29</v>
      </c>
      <c r="E8" s="8">
        <f>'[1]Hotel 2a'!E8</f>
        <v>39.4</v>
      </c>
      <c r="F8">
        <f>'[1]Hotel 2a'!F8</f>
        <v>57</v>
      </c>
      <c r="G8" s="9">
        <f>'[1]Hotel 2a'!G8</f>
        <v>24</v>
      </c>
    </row>
    <row r="9" spans="1:19" x14ac:dyDescent="0.35">
      <c r="A9" s="8">
        <f>'[1]Hotel 2a'!A9</f>
        <v>37.6</v>
      </c>
      <c r="B9">
        <f>'[1]Hotel 2a'!B9</f>
        <v>82</v>
      </c>
      <c r="C9" s="9">
        <f>'[1]Hotel 2a'!C9</f>
        <v>13</v>
      </c>
      <c r="E9" s="8">
        <f>'[1]Hotel 2a'!E9</f>
        <v>38.200000000000003</v>
      </c>
      <c r="F9">
        <f>'[1]Hotel 2a'!F9</f>
        <v>71</v>
      </c>
      <c r="G9" s="9">
        <f>'[1]Hotel 2a'!G9</f>
        <v>24</v>
      </c>
      <c r="I9" t="s">
        <v>43</v>
      </c>
      <c r="M9" t="s">
        <v>44</v>
      </c>
      <c r="Q9" t="s">
        <v>45</v>
      </c>
    </row>
    <row r="10" spans="1:19" x14ac:dyDescent="0.35">
      <c r="A10" s="8">
        <f>'[1]Hotel 2a'!A10</f>
        <v>37</v>
      </c>
      <c r="B10">
        <f>'[1]Hotel 2a'!B10</f>
        <v>68</v>
      </c>
      <c r="C10" s="9">
        <f>'[1]Hotel 2a'!C10</f>
        <v>25</v>
      </c>
      <c r="E10" s="8">
        <f>'[1]Hotel 2a'!E10</f>
        <v>39.700000000000003</v>
      </c>
      <c r="F10">
        <f>'[1]Hotel 2a'!F10</f>
        <v>65</v>
      </c>
      <c r="G10" s="9">
        <f>'[1]Hotel 2a'!G10</f>
        <v>22</v>
      </c>
    </row>
    <row r="11" spans="1:19" x14ac:dyDescent="0.35">
      <c r="A11" s="8">
        <f>'[1]Hotel 2a'!A11</f>
        <v>37.9</v>
      </c>
      <c r="B11">
        <f>'[1]Hotel 2a'!B11</f>
        <v>54</v>
      </c>
      <c r="C11" s="9">
        <f>'[1]Hotel 2a'!C11</f>
        <v>27</v>
      </c>
      <c r="E11" s="8">
        <f>'[1]Hotel 2a'!E11</f>
        <v>38.9</v>
      </c>
      <c r="F11">
        <f>'[1]Hotel 2a'!F11</f>
        <v>49</v>
      </c>
      <c r="G11" s="9">
        <f>'[1]Hotel 2a'!G11</f>
        <v>30</v>
      </c>
      <c r="I11" s="5" t="e">
        <f t="array" aca="1" ref="I11:K13" ca="1">[2]!COV(A6:C25)</f>
        <v>#NAME?</v>
      </c>
      <c r="J11" s="4" t="e">
        <f ca="1"/>
        <v>#NAME?</v>
      </c>
      <c r="K11" s="6" t="e">
        <f ca="1"/>
        <v>#NAME?</v>
      </c>
      <c r="M11" s="5" t="e">
        <f t="array" aca="1" ref="M11:O13" ca="1">[2]!COV(E6:G23)</f>
        <v>#NAME?</v>
      </c>
      <c r="N11" s="4" t="e">
        <f ca="1"/>
        <v>#NAME?</v>
      </c>
      <c r="O11" s="6" t="e">
        <f ca="1"/>
        <v>#NAME?</v>
      </c>
      <c r="Q11" s="5" t="e">
        <f t="array" aca="1" ref="Q11:S13" ca="1">I11:K13/J7+M11:O13/K7</f>
        <v>#NAME?</v>
      </c>
      <c r="R11" s="4" t="e">
        <f ca="1"/>
        <v>#NAME?</v>
      </c>
      <c r="S11" s="6" t="e">
        <f ca="1"/>
        <v>#NAME?</v>
      </c>
    </row>
    <row r="12" spans="1:19" x14ac:dyDescent="0.35">
      <c r="A12" s="8">
        <f>'[1]Hotel 2a'!A12</f>
        <v>37.4</v>
      </c>
      <c r="B12">
        <f>'[1]Hotel 2a'!B12</f>
        <v>80</v>
      </c>
      <c r="C12" s="9">
        <f>'[1]Hotel 2a'!C12</f>
        <v>25</v>
      </c>
      <c r="E12" s="8">
        <f>'[1]Hotel 2a'!E12</f>
        <v>38.6</v>
      </c>
      <c r="F12">
        <f>'[1]Hotel 2a'!F12</f>
        <v>58</v>
      </c>
      <c r="G12" s="9">
        <f>'[1]Hotel 2a'!G12</f>
        <v>25</v>
      </c>
      <c r="I12" s="8" t="e">
        <f ca="1"/>
        <v>#NAME?</v>
      </c>
      <c r="J12" t="e">
        <f ca="1"/>
        <v>#NAME?</v>
      </c>
      <c r="K12" s="9" t="e">
        <f ca="1"/>
        <v>#NAME?</v>
      </c>
      <c r="M12" s="8" t="e">
        <f ca="1"/>
        <v>#NAME?</v>
      </c>
      <c r="N12" t="e">
        <f ca="1"/>
        <v>#NAME?</v>
      </c>
      <c r="O12" s="9" t="e">
        <f ca="1"/>
        <v>#NAME?</v>
      </c>
      <c r="Q12" s="8" t="e">
        <f ca="1"/>
        <v>#NAME?</v>
      </c>
      <c r="R12" t="e">
        <f ca="1"/>
        <v>#NAME?</v>
      </c>
      <c r="S12" s="9" t="e">
        <f ca="1"/>
        <v>#NAME?</v>
      </c>
    </row>
    <row r="13" spans="1:19" x14ac:dyDescent="0.35">
      <c r="A13" s="8">
        <f>'[1]Hotel 2a'!A13</f>
        <v>35.200000000000003</v>
      </c>
      <c r="B13">
        <f>'[1]Hotel 2a'!B13</f>
        <v>99</v>
      </c>
      <c r="C13" s="9">
        <f>'[1]Hotel 2a'!C13</f>
        <v>8</v>
      </c>
      <c r="E13" s="8">
        <f>'[1]Hotel 2a'!E13</f>
        <v>39.9</v>
      </c>
      <c r="F13">
        <f>'[1]Hotel 2a'!F13</f>
        <v>52</v>
      </c>
      <c r="G13" s="9">
        <f>'[1]Hotel 2a'!G13</f>
        <v>17</v>
      </c>
      <c r="I13" s="13" t="e">
        <f ca="1"/>
        <v>#NAME?</v>
      </c>
      <c r="J13" s="12" t="e">
        <f ca="1"/>
        <v>#NAME?</v>
      </c>
      <c r="K13" s="14" t="e">
        <f ca="1"/>
        <v>#NAME?</v>
      </c>
      <c r="M13" s="13" t="e">
        <f ca="1"/>
        <v>#NAME?</v>
      </c>
      <c r="N13" s="12" t="e">
        <f ca="1"/>
        <v>#NAME?</v>
      </c>
      <c r="O13" s="14" t="e">
        <f ca="1"/>
        <v>#NAME?</v>
      </c>
      <c r="Q13" s="13" t="e">
        <f ca="1"/>
        <v>#NAME?</v>
      </c>
      <c r="R13" s="12" t="e">
        <f ca="1"/>
        <v>#NAME?</v>
      </c>
      <c r="S13" s="14" t="e">
        <f ca="1"/>
        <v>#NAME?</v>
      </c>
    </row>
    <row r="14" spans="1:19" x14ac:dyDescent="0.35">
      <c r="A14" s="8">
        <f>'[1]Hotel 2a'!A14</f>
        <v>38.200000000000003</v>
      </c>
      <c r="B14">
        <f>'[1]Hotel 2a'!B14</f>
        <v>65</v>
      </c>
      <c r="C14" s="9">
        <f>'[1]Hotel 2a'!C14</f>
        <v>21</v>
      </c>
      <c r="E14" s="8">
        <f>'[1]Hotel 2a'!E14</f>
        <v>41.3</v>
      </c>
      <c r="F14">
        <f>'[1]Hotel 2a'!F14</f>
        <v>62</v>
      </c>
      <c r="G14" s="9">
        <f>'[1]Hotel 2a'!G14</f>
        <v>18</v>
      </c>
    </row>
    <row r="15" spans="1:19" x14ac:dyDescent="0.35">
      <c r="A15" s="8">
        <f>'[1]Hotel 2a'!A15</f>
        <v>37.5</v>
      </c>
      <c r="B15">
        <f>'[1]Hotel 2a'!B15</f>
        <v>55</v>
      </c>
      <c r="C15" s="9">
        <f>'[1]Hotel 2a'!C15</f>
        <v>11</v>
      </c>
      <c r="E15" s="8">
        <f>'[1]Hotel 2a'!E15</f>
        <v>38.1</v>
      </c>
      <c r="F15">
        <f>'[1]Hotel 2a'!F15</f>
        <v>57</v>
      </c>
      <c r="G15" s="9">
        <f>'[1]Hotel 2a'!G15</f>
        <v>20</v>
      </c>
      <c r="I15" t="s">
        <v>46</v>
      </c>
      <c r="J15" s="7">
        <f>J7+K7-1</f>
        <v>37</v>
      </c>
      <c r="Q15" t="s">
        <v>47</v>
      </c>
    </row>
    <row r="16" spans="1:19" x14ac:dyDescent="0.35">
      <c r="A16" s="8">
        <f>'[1]Hotel 2a'!A16</f>
        <v>35.799999999999997</v>
      </c>
      <c r="B16">
        <f>'[1]Hotel 2a'!B16</f>
        <v>70</v>
      </c>
      <c r="C16" s="9">
        <f>'[1]Hotel 2a'!C16</f>
        <v>16</v>
      </c>
      <c r="E16" s="8">
        <f>'[1]Hotel 2a'!E16</f>
        <v>39.6</v>
      </c>
      <c r="F16">
        <f>'[1]Hotel 2a'!F16</f>
        <v>78</v>
      </c>
      <c r="G16" s="9">
        <f>'[1]Hotel 2a'!G16</f>
        <v>19</v>
      </c>
      <c r="I16" t="s">
        <v>15</v>
      </c>
      <c r="J16" s="15">
        <f>COUNT(A6:C6)</f>
        <v>3</v>
      </c>
    </row>
    <row r="17" spans="1:19" ht="16.5" x14ac:dyDescent="0.35">
      <c r="A17" s="8">
        <f>'[1]Hotel 2a'!A17</f>
        <v>37.4</v>
      </c>
      <c r="B17">
        <f>'[1]Hotel 2a'!B17</f>
        <v>76</v>
      </c>
      <c r="C17" s="9">
        <f>'[1]Hotel 2a'!C17</f>
        <v>13</v>
      </c>
      <c r="E17" s="8">
        <f>'[1]Hotel 2a'!E17</f>
        <v>37.1</v>
      </c>
      <c r="F17">
        <f>'[1]Hotel 2a'!F17</f>
        <v>92</v>
      </c>
      <c r="G17" s="9">
        <f>'[1]Hotel 2a'!G17</f>
        <v>15</v>
      </c>
      <c r="I17" t="s">
        <v>48</v>
      </c>
      <c r="J17" s="15" t="e">
        <f t="array" aca="1" ref="J17" ca="1">MMULT(TRANSPOSE(L4:L6),MMULT(Q17:S19,L4:L6))</f>
        <v>#NAME?</v>
      </c>
      <c r="Q17" s="5" t="e">
        <f t="array" aca="1" ref="Q17:S19" ca="1">MINVERSE(Q11:S13)</f>
        <v>#NAME?</v>
      </c>
      <c r="R17" s="4" t="e">
        <f ca="1"/>
        <v>#NAME?</v>
      </c>
      <c r="S17" s="6" t="e">
        <f ca="1"/>
        <v>#NAME?</v>
      </c>
    </row>
    <row r="18" spans="1:19" x14ac:dyDescent="0.35">
      <c r="A18" s="8">
        <f>'[1]Hotel 2a'!A18</f>
        <v>37.200000000000003</v>
      </c>
      <c r="B18">
        <f>'[1]Hotel 2a'!B18</f>
        <v>49</v>
      </c>
      <c r="C18" s="9">
        <f>'[1]Hotel 2a'!C18</f>
        <v>29</v>
      </c>
      <c r="E18" s="8">
        <f>'[1]Hotel 2a'!E18</f>
        <v>39.5</v>
      </c>
      <c r="F18">
        <f>'[1]Hotel 2a'!F18</f>
        <v>63</v>
      </c>
      <c r="G18" s="9">
        <f>'[1]Hotel 2a'!G18</f>
        <v>13</v>
      </c>
      <c r="I18" t="s">
        <v>35</v>
      </c>
      <c r="J18" s="15" t="e">
        <f ca="1">J17*(J15-J16)/(J16*(J15-1))</f>
        <v>#NAME?</v>
      </c>
      <c r="Q18" s="8" t="e">
        <f ca="1"/>
        <v>#NAME?</v>
      </c>
      <c r="R18" t="e">
        <f ca="1"/>
        <v>#NAME?</v>
      </c>
      <c r="S18" s="9" t="e">
        <f ca="1"/>
        <v>#NAME?</v>
      </c>
    </row>
    <row r="19" spans="1:19" x14ac:dyDescent="0.35">
      <c r="A19" s="8">
        <f>'[1]Hotel 2a'!A19</f>
        <v>36.5</v>
      </c>
      <c r="B19">
        <f>'[1]Hotel 2a'!B19</f>
        <v>59</v>
      </c>
      <c r="C19" s="9">
        <f>'[1]Hotel 2a'!C19</f>
        <v>24</v>
      </c>
      <c r="E19" s="8">
        <f>'[1]Hotel 2a'!E19</f>
        <v>40.299999999999997</v>
      </c>
      <c r="F19">
        <f>'[1]Hotel 2a'!F19</f>
        <v>52</v>
      </c>
      <c r="G19" s="9">
        <f>'[1]Hotel 2a'!G19</f>
        <v>25</v>
      </c>
      <c r="I19" t="s">
        <v>21</v>
      </c>
      <c r="J19" s="15">
        <f>J16</f>
        <v>3</v>
      </c>
      <c r="Q19" s="13" t="e">
        <f ca="1"/>
        <v>#NAME?</v>
      </c>
      <c r="R19" s="12" t="e">
        <f ca="1"/>
        <v>#NAME?</v>
      </c>
      <c r="S19" s="14" t="e">
        <f ca="1"/>
        <v>#NAME?</v>
      </c>
    </row>
    <row r="20" spans="1:19" x14ac:dyDescent="0.35">
      <c r="A20" s="8">
        <f>'[1]Hotel 2a'!A20</f>
        <v>38.299999999999997</v>
      </c>
      <c r="B20">
        <f>'[1]Hotel 2a'!B20</f>
        <v>77</v>
      </c>
      <c r="C20" s="9">
        <f>'[1]Hotel 2a'!C20</f>
        <v>12</v>
      </c>
      <c r="E20" s="8">
        <f>'[1]Hotel 2a'!E20</f>
        <v>41.5</v>
      </c>
      <c r="F20">
        <f>'[1]Hotel 2a'!F20</f>
        <v>46</v>
      </c>
      <c r="G20" s="9">
        <f>'[1]Hotel 2a'!G20</f>
        <v>27</v>
      </c>
      <c r="I20" t="s">
        <v>23</v>
      </c>
      <c r="J20" s="15" t="e">
        <f t="array" aca="1" ref="J20" ca="1">J17^2/(MMULT(TRANSPOSE(L4:L6),MMULT(Q17:S19,MMULT(I11:K13/J7,MMULT(Q17:S19,L4:L6))))^2/(J7-1)+MMULT(TRANSPOSE(L4:L6),MMULT(Q17:S19,MMULT(M11:O13/K7,MMULT(Q17:S19,L4:L6))))^2/(K7-1))</f>
        <v>#NAME?</v>
      </c>
    </row>
    <row r="21" spans="1:19" x14ac:dyDescent="0.35">
      <c r="A21" s="8">
        <f>'[1]Hotel 2a'!A21</f>
        <v>37.5</v>
      </c>
      <c r="B21">
        <f>'[1]Hotel 2a'!B21</f>
        <v>66</v>
      </c>
      <c r="C21" s="9">
        <f>'[1]Hotel 2a'!C21</f>
        <v>19</v>
      </c>
      <c r="E21" s="8">
        <f>'[1]Hotel 2a'!E21</f>
        <v>39.299999999999997</v>
      </c>
      <c r="F21">
        <f>'[1]Hotel 2a'!F21</f>
        <v>56</v>
      </c>
      <c r="G21" s="9">
        <f>'[1]Hotel 2a'!G21</f>
        <v>14</v>
      </c>
      <c r="I21" t="s">
        <v>32</v>
      </c>
      <c r="J21" s="15">
        <v>0.05</v>
      </c>
    </row>
    <row r="22" spans="1:19" x14ac:dyDescent="0.35">
      <c r="A22" s="8">
        <f>'[1]Hotel 2a'!A22</f>
        <v>36</v>
      </c>
      <c r="B22">
        <f>'[1]Hotel 2a'!B22</f>
        <v>79</v>
      </c>
      <c r="C22" s="9">
        <f>'[1]Hotel 2a'!C22</f>
        <v>14</v>
      </c>
      <c r="E22" s="8">
        <f>'[1]Hotel 2a'!E22</f>
        <v>37.6</v>
      </c>
      <c r="F22">
        <f>'[1]Hotel 2a'!F22</f>
        <v>86</v>
      </c>
      <c r="G22" s="9">
        <f>'[1]Hotel 2a'!G22</f>
        <v>16</v>
      </c>
      <c r="I22" t="s">
        <v>37</v>
      </c>
      <c r="J22" s="15" t="e">
        <f ca="1">FINV(J21,J19,J20)</f>
        <v>#NAME?</v>
      </c>
    </row>
    <row r="23" spans="1:19" x14ac:dyDescent="0.35">
      <c r="A23" s="8">
        <f>'[1]Hotel 2a'!A23</f>
        <v>36.9</v>
      </c>
      <c r="B23">
        <f>'[1]Hotel 2a'!B23</f>
        <v>67</v>
      </c>
      <c r="C23" s="9">
        <f>'[1]Hotel 2a'!C23</f>
        <v>12</v>
      </c>
      <c r="E23" s="13">
        <f>'[1]Hotel 2a'!E23</f>
        <v>40.6</v>
      </c>
      <c r="F23" s="12">
        <f>'[1]Hotel 2a'!F23</f>
        <v>48</v>
      </c>
      <c r="G23" s="14">
        <f>'[1]Hotel 2a'!G23</f>
        <v>21</v>
      </c>
      <c r="I23" t="s">
        <v>49</v>
      </c>
      <c r="J23" s="15" t="e">
        <f ca="1">FDIST(J18,J19,J20)</f>
        <v>#NAME?</v>
      </c>
    </row>
    <row r="24" spans="1:19" x14ac:dyDescent="0.35">
      <c r="A24" s="8">
        <f>'[1]Hotel 2a'!A24</f>
        <v>39.299999999999997</v>
      </c>
      <c r="B24">
        <f>'[1]Hotel 2a'!B24</f>
        <v>53</v>
      </c>
      <c r="C24" s="9">
        <f>'[1]Hotel 2a'!C24</f>
        <v>7</v>
      </c>
      <c r="I24" t="s">
        <v>36</v>
      </c>
      <c r="J24" s="23" t="e">
        <f ca="1">IF(J23&lt;= J21,"yes","no")</f>
        <v>#NAME?</v>
      </c>
    </row>
    <row r="25" spans="1:19" x14ac:dyDescent="0.35">
      <c r="A25" s="13">
        <f>'[1]Hotel 2a'!A25</f>
        <v>38.799999999999997</v>
      </c>
      <c r="B25" s="12">
        <f>'[1]Hotel 2a'!B25</f>
        <v>67</v>
      </c>
      <c r="C25" s="14">
        <f>'[1]Hotel 2a'!C25</f>
        <v>13</v>
      </c>
    </row>
    <row r="26" spans="1:19" x14ac:dyDescent="0.35">
      <c r="I26" t="s">
        <v>50</v>
      </c>
    </row>
    <row r="27" spans="1:19" x14ac:dyDescent="0.35">
      <c r="A27" s="5">
        <f>AVERAGE(A6:A25)</f>
        <v>37.289999999999992</v>
      </c>
      <c r="B27" s="4">
        <f>AVERAGE(B6:B25)</f>
        <v>69.099999999999994</v>
      </c>
      <c r="C27" s="6">
        <f>AVERAGE(C6:C25)</f>
        <v>17.600000000000001</v>
      </c>
      <c r="D27" s="2" t="s">
        <v>51</v>
      </c>
      <c r="E27" s="5">
        <f>AVERAGE(E6:E25)</f>
        <v>39.444444444444443</v>
      </c>
      <c r="F27" s="4">
        <f>AVERAGE(F6:F25)</f>
        <v>62.277777777777779</v>
      </c>
      <c r="G27" s="6">
        <f>AVERAGE(G6:G25)</f>
        <v>20.111111111111111</v>
      </c>
    </row>
    <row r="28" spans="1:19" ht="16.5" x14ac:dyDescent="0.35">
      <c r="A28" s="13">
        <f>VAR(A6:A25)</f>
        <v>1.0419999999999989</v>
      </c>
      <c r="B28" s="12">
        <f>VAR(B6:B25)</f>
        <v>154.20000000000016</v>
      </c>
      <c r="C28" s="14">
        <f>VAR(C6:C25)</f>
        <v>47.621052631578955</v>
      </c>
      <c r="D28" s="2" t="s">
        <v>52</v>
      </c>
      <c r="E28" s="13">
        <f>VAR(E6:E25)</f>
        <v>1.4967320261437886</v>
      </c>
      <c r="F28" s="12">
        <f>VAR(F6:F25)</f>
        <v>175.15359477124173</v>
      </c>
      <c r="G28" s="14">
        <f>VAR(G6:G25)</f>
        <v>24.457516339869258</v>
      </c>
      <c r="I28" t="s">
        <v>48</v>
      </c>
      <c r="J28" s="7" t="e">
        <f ca="1">[2]!HotellingT2(A6:C25,E6:G23,3)</f>
        <v>#NAME?</v>
      </c>
    </row>
    <row r="29" spans="1:19" x14ac:dyDescent="0.35">
      <c r="I29" t="s">
        <v>35</v>
      </c>
      <c r="J29" s="15" t="e">
        <f ca="1">[2]!HotellingF(A6:C25,E6:G23,3)</f>
        <v>#NAME?</v>
      </c>
    </row>
    <row r="30" spans="1:19" x14ac:dyDescent="0.35">
      <c r="I30" t="s">
        <v>21</v>
      </c>
      <c r="J30" s="15" t="e">
        <f ca="1">[2]!Hotellingdf1(A6:C25,E6:G23,3)</f>
        <v>#NAME?</v>
      </c>
    </row>
    <row r="31" spans="1:19" x14ac:dyDescent="0.35">
      <c r="I31" t="s">
        <v>23</v>
      </c>
      <c r="J31" s="15" t="e">
        <f ca="1">[2]!Hotellingdf2(A6:C25,E6:G23,3)</f>
        <v>#NAME?</v>
      </c>
    </row>
    <row r="32" spans="1:19" x14ac:dyDescent="0.35">
      <c r="I32" t="s">
        <v>20</v>
      </c>
      <c r="J32" s="10" t="e">
        <f ca="1">[2]!T2TEST(A6:C25,E6:G23,3)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9EA3-856B-485E-BB5D-8E972C0CC17E}">
  <dimension ref="A1:S32"/>
  <sheetViews>
    <sheetView zoomScaleNormal="100" workbookViewId="0"/>
  </sheetViews>
  <sheetFormatPr defaultRowHeight="14.5" x14ac:dyDescent="0.35"/>
  <cols>
    <col min="10" max="10" width="9.08984375" customWidth="1"/>
    <col min="13" max="13" width="9.08984375" customWidth="1"/>
  </cols>
  <sheetData>
    <row r="1" spans="1:19" x14ac:dyDescent="0.35">
      <c r="A1" s="1" t="s">
        <v>38</v>
      </c>
    </row>
    <row r="2" spans="1:19" x14ac:dyDescent="0.35">
      <c r="I2" t="s">
        <v>53</v>
      </c>
    </row>
    <row r="3" spans="1:19" x14ac:dyDescent="0.35">
      <c r="A3" t="s">
        <v>11</v>
      </c>
      <c r="E3" t="s">
        <v>13</v>
      </c>
      <c r="J3" s="16" t="s">
        <v>11</v>
      </c>
      <c r="K3" s="16" t="s">
        <v>13</v>
      </c>
      <c r="L3" s="16" t="s">
        <v>19</v>
      </c>
    </row>
    <row r="4" spans="1:19" x14ac:dyDescent="0.35">
      <c r="I4" t="s">
        <v>39</v>
      </c>
      <c r="J4" s="5">
        <f t="array" ref="J4:J6">TRANSPOSE(A27:C27)</f>
        <v>37.289999999999992</v>
      </c>
      <c r="K4" s="6">
        <f t="array" ref="K4:K6">TRANSPOSE(E27:G27)</f>
        <v>39.444444444444443</v>
      </c>
      <c r="L4" s="7">
        <f>J4-K4</f>
        <v>-2.1544444444444508</v>
      </c>
    </row>
    <row r="5" spans="1:19" x14ac:dyDescent="0.35">
      <c r="A5" s="16" t="s">
        <v>39</v>
      </c>
      <c r="B5" s="16" t="s">
        <v>40</v>
      </c>
      <c r="C5" s="16" t="s">
        <v>41</v>
      </c>
      <c r="D5" s="16"/>
      <c r="E5" s="16" t="s">
        <v>39</v>
      </c>
      <c r="F5" s="16" t="s">
        <v>40</v>
      </c>
      <c r="G5" s="16" t="s">
        <v>41</v>
      </c>
      <c r="I5" s="24" t="s">
        <v>40</v>
      </c>
      <c r="J5" s="8">
        <v>74.5</v>
      </c>
      <c r="K5" s="9">
        <v>62.277777777777779</v>
      </c>
      <c r="L5" s="15">
        <f>J5-K5</f>
        <v>12.222222222222221</v>
      </c>
    </row>
    <row r="6" spans="1:19" x14ac:dyDescent="0.35">
      <c r="A6" s="5">
        <f>'[1]Hotel 2a'!A6</f>
        <v>36.5</v>
      </c>
      <c r="B6" s="4">
        <f>'[1]Hotel 2a'!B6</f>
        <v>72</v>
      </c>
      <c r="C6" s="6">
        <f>'[1]Hotel 2a'!C6</f>
        <v>18</v>
      </c>
      <c r="E6" s="5">
        <f>'[1]Hotel 2a'!E6</f>
        <v>40.9</v>
      </c>
      <c r="F6" s="4">
        <f>'[1]Hotel 2a'!F6</f>
        <v>54</v>
      </c>
      <c r="G6" s="6">
        <f>'[1]Hotel 2a'!G6</f>
        <v>14</v>
      </c>
      <c r="I6" t="s">
        <v>41</v>
      </c>
      <c r="J6" s="13">
        <v>15.55</v>
      </c>
      <c r="K6" s="14">
        <v>20.111111111111111</v>
      </c>
      <c r="L6" s="10">
        <f>J6-K6</f>
        <v>-4.56111111111111</v>
      </c>
    </row>
    <row r="7" spans="1:19" x14ac:dyDescent="0.35">
      <c r="A7" s="8">
        <f>'[1]Hotel 2a'!A7</f>
        <v>36.6</v>
      </c>
      <c r="B7">
        <v>82</v>
      </c>
      <c r="C7" s="9">
        <v>4</v>
      </c>
      <c r="E7" s="8">
        <f>'[1]Hotel 2a'!E7</f>
        <v>39.5</v>
      </c>
      <c r="F7">
        <f>'[1]Hotel 2a'!F7</f>
        <v>75</v>
      </c>
      <c r="G7" s="9">
        <f>'[1]Hotel 2a'!G7</f>
        <v>18</v>
      </c>
      <c r="I7" t="s">
        <v>42</v>
      </c>
      <c r="J7">
        <f>COUNT(A6:A25)</f>
        <v>20</v>
      </c>
      <c r="K7">
        <f>COUNT(E6:E25)</f>
        <v>18</v>
      </c>
    </row>
    <row r="8" spans="1:19" x14ac:dyDescent="0.35">
      <c r="A8" s="8">
        <f>'[1]Hotel 2a'!A8</f>
        <v>38.200000000000003</v>
      </c>
      <c r="B8">
        <v>65</v>
      </c>
      <c r="C8" s="9">
        <f>'[1]Hotel 2a'!C8</f>
        <v>29</v>
      </c>
      <c r="E8" s="8">
        <f>'[1]Hotel 2a'!E8</f>
        <v>39.4</v>
      </c>
      <c r="F8">
        <f>'[1]Hotel 2a'!F8</f>
        <v>57</v>
      </c>
      <c r="G8" s="9">
        <f>'[1]Hotel 2a'!G8</f>
        <v>24</v>
      </c>
    </row>
    <row r="9" spans="1:19" x14ac:dyDescent="0.35">
      <c r="A9" s="8">
        <f>'[1]Hotel 2a'!A9</f>
        <v>37.6</v>
      </c>
      <c r="B9">
        <f>'[1]Hotel 2a'!B9</f>
        <v>82</v>
      </c>
      <c r="C9" s="9">
        <v>12</v>
      </c>
      <c r="E9" s="8">
        <f>'[1]Hotel 2a'!E9</f>
        <v>38.200000000000003</v>
      </c>
      <c r="F9">
        <f>'[1]Hotel 2a'!F9</f>
        <v>71</v>
      </c>
      <c r="G9" s="9">
        <f>'[1]Hotel 2a'!G9</f>
        <v>24</v>
      </c>
      <c r="I9" t="s">
        <v>43</v>
      </c>
      <c r="M9" t="s">
        <v>44</v>
      </c>
      <c r="Q9" t="s">
        <v>45</v>
      </c>
    </row>
    <row r="10" spans="1:19" x14ac:dyDescent="0.35">
      <c r="A10" s="8">
        <f>'[1]Hotel 2a'!A10</f>
        <v>37</v>
      </c>
      <c r="B10">
        <f>'[1]Hotel 2a'!B10</f>
        <v>68</v>
      </c>
      <c r="C10" s="9">
        <f>'[1]Hotel 2a'!C10</f>
        <v>25</v>
      </c>
      <c r="E10" s="8">
        <f>'[1]Hotel 2a'!E10</f>
        <v>39.700000000000003</v>
      </c>
      <c r="F10">
        <f>'[1]Hotel 2a'!F10</f>
        <v>65</v>
      </c>
      <c r="G10" s="9">
        <f>'[1]Hotel 2a'!G10</f>
        <v>22</v>
      </c>
    </row>
    <row r="11" spans="1:19" x14ac:dyDescent="0.35">
      <c r="A11" s="8">
        <f>'[1]Hotel 2a'!A11</f>
        <v>37.9</v>
      </c>
      <c r="B11">
        <v>82</v>
      </c>
      <c r="C11" s="9">
        <f>'[1]Hotel 2a'!C11</f>
        <v>27</v>
      </c>
      <c r="E11" s="8">
        <f>'[1]Hotel 2a'!E11</f>
        <v>38.9</v>
      </c>
      <c r="F11">
        <f>'[1]Hotel 2a'!F11</f>
        <v>49</v>
      </c>
      <c r="G11" s="9">
        <f>'[1]Hotel 2a'!G11</f>
        <v>30</v>
      </c>
      <c r="I11" s="5" t="e">
        <f t="array" aca="1" ref="I11:K13" ca="1">[2]!COV(A6:C25)</f>
        <v>#NAME?</v>
      </c>
      <c r="J11" s="4" t="e">
        <f ca="1"/>
        <v>#NAME?</v>
      </c>
      <c r="K11" s="6" t="e">
        <f ca="1"/>
        <v>#NAME?</v>
      </c>
      <c r="M11" s="5" t="e">
        <f t="array" aca="1" ref="M11:O13" ca="1">[2]!COV(E6:G23)</f>
        <v>#NAME?</v>
      </c>
      <c r="N11" s="4" t="e">
        <f ca="1"/>
        <v>#NAME?</v>
      </c>
      <c r="O11" s="6" t="e">
        <f ca="1"/>
        <v>#NAME?</v>
      </c>
      <c r="Q11" s="5" t="e">
        <f t="array" aca="1" ref="Q11:S13" ca="1">I11:K13/J7+M11:O13/K7</f>
        <v>#NAME?</v>
      </c>
      <c r="R11" s="4" t="e">
        <f ca="1"/>
        <v>#NAME?</v>
      </c>
      <c r="S11" s="6" t="e">
        <f ca="1"/>
        <v>#NAME?</v>
      </c>
    </row>
    <row r="12" spans="1:19" x14ac:dyDescent="0.35">
      <c r="A12" s="8">
        <f>'[1]Hotel 2a'!A12</f>
        <v>37.4</v>
      </c>
      <c r="B12">
        <f>'[1]Hotel 2a'!B12</f>
        <v>80</v>
      </c>
      <c r="C12" s="9">
        <f>'[1]Hotel 2a'!C12</f>
        <v>25</v>
      </c>
      <c r="E12" s="8">
        <f>'[1]Hotel 2a'!E12</f>
        <v>38.6</v>
      </c>
      <c r="F12">
        <f>'[1]Hotel 2a'!F12</f>
        <v>58</v>
      </c>
      <c r="G12" s="9">
        <f>'[1]Hotel 2a'!G12</f>
        <v>25</v>
      </c>
      <c r="I12" s="8" t="e">
        <f ca="1"/>
        <v>#NAME?</v>
      </c>
      <c r="J12" t="e">
        <f ca="1"/>
        <v>#NAME?</v>
      </c>
      <c r="K12" s="9" t="e">
        <f ca="1"/>
        <v>#NAME?</v>
      </c>
      <c r="M12" s="8" t="e">
        <f ca="1"/>
        <v>#NAME?</v>
      </c>
      <c r="N12" t="e">
        <f ca="1"/>
        <v>#NAME?</v>
      </c>
      <c r="O12" s="9" t="e">
        <f ca="1"/>
        <v>#NAME?</v>
      </c>
      <c r="Q12" s="8" t="e">
        <f ca="1"/>
        <v>#NAME?</v>
      </c>
      <c r="R12" t="e">
        <f ca="1"/>
        <v>#NAME?</v>
      </c>
      <c r="S12" s="9" t="e">
        <f ca="1"/>
        <v>#NAME?</v>
      </c>
    </row>
    <row r="13" spans="1:19" x14ac:dyDescent="0.35">
      <c r="A13" s="8">
        <f>'[1]Hotel 2a'!A13</f>
        <v>35.200000000000003</v>
      </c>
      <c r="B13">
        <v>93</v>
      </c>
      <c r="C13" s="9">
        <f>'[1]Hotel 2a'!C13</f>
        <v>8</v>
      </c>
      <c r="E13" s="8">
        <f>'[1]Hotel 2a'!E13</f>
        <v>39.9</v>
      </c>
      <c r="F13">
        <f>'[1]Hotel 2a'!F13</f>
        <v>52</v>
      </c>
      <c r="G13" s="9">
        <f>'[1]Hotel 2a'!G13</f>
        <v>17</v>
      </c>
      <c r="I13" s="13" t="e">
        <f ca="1"/>
        <v>#NAME?</v>
      </c>
      <c r="J13" s="12" t="e">
        <f ca="1"/>
        <v>#NAME?</v>
      </c>
      <c r="K13" s="14" t="e">
        <f ca="1"/>
        <v>#NAME?</v>
      </c>
      <c r="M13" s="13" t="e">
        <f ca="1"/>
        <v>#NAME?</v>
      </c>
      <c r="N13" s="12" t="e">
        <f ca="1"/>
        <v>#NAME?</v>
      </c>
      <c r="O13" s="14" t="e">
        <f ca="1"/>
        <v>#NAME?</v>
      </c>
      <c r="Q13" s="13" t="e">
        <f ca="1"/>
        <v>#NAME?</v>
      </c>
      <c r="R13" s="12" t="e">
        <f ca="1"/>
        <v>#NAME?</v>
      </c>
      <c r="S13" s="14" t="e">
        <f ca="1"/>
        <v>#NAME?</v>
      </c>
    </row>
    <row r="14" spans="1:19" x14ac:dyDescent="0.35">
      <c r="A14" s="8">
        <f>'[1]Hotel 2a'!A14</f>
        <v>38.200000000000003</v>
      </c>
      <c r="B14">
        <f>'[1]Hotel 2a'!B14</f>
        <v>65</v>
      </c>
      <c r="C14" s="9">
        <v>2</v>
      </c>
      <c r="E14" s="8">
        <f>'[1]Hotel 2a'!E14</f>
        <v>41.3</v>
      </c>
      <c r="F14">
        <f>'[1]Hotel 2a'!F14</f>
        <v>62</v>
      </c>
      <c r="G14" s="9">
        <f>'[1]Hotel 2a'!G14</f>
        <v>18</v>
      </c>
    </row>
    <row r="15" spans="1:19" x14ac:dyDescent="0.35">
      <c r="A15" s="8">
        <f>'[1]Hotel 2a'!A15</f>
        <v>37.5</v>
      </c>
      <c r="B15">
        <v>66</v>
      </c>
      <c r="C15" s="9">
        <f>'[1]Hotel 2a'!C15</f>
        <v>11</v>
      </c>
      <c r="E15" s="8">
        <f>'[1]Hotel 2a'!E15</f>
        <v>38.1</v>
      </c>
      <c r="F15">
        <f>'[1]Hotel 2a'!F15</f>
        <v>57</v>
      </c>
      <c r="G15" s="9">
        <f>'[1]Hotel 2a'!G15</f>
        <v>20</v>
      </c>
      <c r="I15" t="s">
        <v>46</v>
      </c>
      <c r="J15" s="7">
        <f>J7+K7-1</f>
        <v>37</v>
      </c>
      <c r="Q15" t="s">
        <v>47</v>
      </c>
    </row>
    <row r="16" spans="1:19" x14ac:dyDescent="0.35">
      <c r="A16" s="8">
        <f>'[1]Hotel 2a'!A16</f>
        <v>35.799999999999997</v>
      </c>
      <c r="B16">
        <f>'[1]Hotel 2a'!B16</f>
        <v>70</v>
      </c>
      <c r="C16" s="9">
        <v>3</v>
      </c>
      <c r="E16" s="8">
        <f>'[1]Hotel 2a'!E16</f>
        <v>39.6</v>
      </c>
      <c r="F16">
        <f>'[1]Hotel 2a'!F16</f>
        <v>78</v>
      </c>
      <c r="G16" s="9">
        <f>'[1]Hotel 2a'!G16</f>
        <v>19</v>
      </c>
      <c r="I16" t="s">
        <v>15</v>
      </c>
      <c r="J16" s="15">
        <f>COUNT(A6:C6)</f>
        <v>3</v>
      </c>
    </row>
    <row r="17" spans="1:19" ht="16.5" x14ac:dyDescent="0.35">
      <c r="A17" s="8">
        <f>'[1]Hotel 2a'!A17</f>
        <v>37.4</v>
      </c>
      <c r="B17">
        <f>'[1]Hotel 2a'!B17</f>
        <v>76</v>
      </c>
      <c r="C17" s="9">
        <f>'[1]Hotel 2a'!C17</f>
        <v>13</v>
      </c>
      <c r="E17" s="8">
        <f>'[1]Hotel 2a'!E17</f>
        <v>37.1</v>
      </c>
      <c r="F17">
        <f>'[1]Hotel 2a'!F17</f>
        <v>92</v>
      </c>
      <c r="G17" s="9">
        <f>'[1]Hotel 2a'!G17</f>
        <v>15</v>
      </c>
      <c r="I17" t="s">
        <v>48</v>
      </c>
      <c r="J17" s="15" t="e">
        <f t="array" aca="1" ref="J17" ca="1">MMULT(TRANSPOSE(L4:L6),MMULT(Q17:S19,L4:L6))</f>
        <v>#NAME?</v>
      </c>
      <c r="Q17" s="5" t="e">
        <f t="array" aca="1" ref="Q17:S19" ca="1">MINVERSE(Q11:S13)</f>
        <v>#NAME?</v>
      </c>
      <c r="R17" s="4" t="e">
        <f ca="1"/>
        <v>#NAME?</v>
      </c>
      <c r="S17" s="6" t="e">
        <f ca="1"/>
        <v>#NAME?</v>
      </c>
    </row>
    <row r="18" spans="1:19" x14ac:dyDescent="0.35">
      <c r="A18" s="8">
        <f>'[1]Hotel 2a'!A18</f>
        <v>37.200000000000003</v>
      </c>
      <c r="B18">
        <v>83</v>
      </c>
      <c r="C18" s="9">
        <f>'[1]Hotel 2a'!C18</f>
        <v>29</v>
      </c>
      <c r="E18" s="8">
        <f>'[1]Hotel 2a'!E18</f>
        <v>39.5</v>
      </c>
      <c r="F18">
        <f>'[1]Hotel 2a'!F18</f>
        <v>63</v>
      </c>
      <c r="G18" s="9">
        <f>'[1]Hotel 2a'!G18</f>
        <v>13</v>
      </c>
      <c r="I18" t="s">
        <v>35</v>
      </c>
      <c r="J18" s="15" t="e">
        <f ca="1">J17*(J15-J16)/(J16*(J15-1))</f>
        <v>#NAME?</v>
      </c>
      <c r="Q18" s="8" t="e">
        <f ca="1"/>
        <v>#NAME?</v>
      </c>
      <c r="R18" t="e">
        <f ca="1"/>
        <v>#NAME?</v>
      </c>
      <c r="S18" s="9" t="e">
        <f ca="1"/>
        <v>#NAME?</v>
      </c>
    </row>
    <row r="19" spans="1:19" x14ac:dyDescent="0.35">
      <c r="A19" s="8">
        <f>'[1]Hotel 2a'!A19</f>
        <v>36.5</v>
      </c>
      <c r="B19">
        <v>68</v>
      </c>
      <c r="C19" s="9">
        <f>'[1]Hotel 2a'!C19</f>
        <v>24</v>
      </c>
      <c r="E19" s="8">
        <f>'[1]Hotel 2a'!E19</f>
        <v>40.299999999999997</v>
      </c>
      <c r="F19">
        <f>'[1]Hotel 2a'!F19</f>
        <v>52</v>
      </c>
      <c r="G19" s="9">
        <f>'[1]Hotel 2a'!G19</f>
        <v>25</v>
      </c>
      <c r="I19" t="s">
        <v>21</v>
      </c>
      <c r="J19" s="15">
        <f>J16</f>
        <v>3</v>
      </c>
      <c r="Q19" s="13" t="e">
        <f ca="1"/>
        <v>#NAME?</v>
      </c>
      <c r="R19" s="12" t="e">
        <f ca="1"/>
        <v>#NAME?</v>
      </c>
      <c r="S19" s="14" t="e">
        <f ca="1"/>
        <v>#NAME?</v>
      </c>
    </row>
    <row r="20" spans="1:19" x14ac:dyDescent="0.35">
      <c r="A20" s="8">
        <f>'[1]Hotel 2a'!A20</f>
        <v>38.299999999999997</v>
      </c>
      <c r="B20">
        <f>'[1]Hotel 2a'!B20</f>
        <v>77</v>
      </c>
      <c r="C20" s="9">
        <f>'[1]Hotel 2a'!C20</f>
        <v>12</v>
      </c>
      <c r="E20" s="8">
        <f>'[1]Hotel 2a'!E20</f>
        <v>41.5</v>
      </c>
      <c r="F20">
        <f>'[1]Hotel 2a'!F20</f>
        <v>46</v>
      </c>
      <c r="G20" s="9">
        <f>'[1]Hotel 2a'!G20</f>
        <v>27</v>
      </c>
      <c r="I20" t="s">
        <v>23</v>
      </c>
      <c r="J20" s="15" t="e">
        <f t="array" aca="1" ref="J20" ca="1">J17^2/(MMULT(TRANSPOSE(L4:L6),MMULT(Q17:S19,MMULT(I11:K13/J7,MMULT(Q17:S19,L4:L6))))^2/(J7-1)+MMULT(TRANSPOSE(L4:L6),MMULT(Q17:S19,MMULT(M11:O13/K7,MMULT(Q17:S19,L4:L6))))^2/(K7-1))</f>
        <v>#NAME?</v>
      </c>
    </row>
    <row r="21" spans="1:19" x14ac:dyDescent="0.35">
      <c r="A21" s="8">
        <f>'[1]Hotel 2a'!A21</f>
        <v>37.5</v>
      </c>
      <c r="B21">
        <f>'[1]Hotel 2a'!B21</f>
        <v>66</v>
      </c>
      <c r="C21" s="9">
        <v>28</v>
      </c>
      <c r="E21" s="8">
        <f>'[1]Hotel 2a'!E21</f>
        <v>39.299999999999997</v>
      </c>
      <c r="F21">
        <f>'[1]Hotel 2a'!F21</f>
        <v>56</v>
      </c>
      <c r="G21" s="9">
        <f>'[1]Hotel 2a'!G21</f>
        <v>14</v>
      </c>
      <c r="I21" t="s">
        <v>32</v>
      </c>
      <c r="J21" s="15">
        <v>0.05</v>
      </c>
    </row>
    <row r="22" spans="1:19" x14ac:dyDescent="0.35">
      <c r="A22" s="8">
        <f>'[1]Hotel 2a'!A22</f>
        <v>36</v>
      </c>
      <c r="B22">
        <f>'[1]Hotel 2a'!B22</f>
        <v>79</v>
      </c>
      <c r="C22" s="9">
        <f>'[1]Hotel 2a'!C22</f>
        <v>14</v>
      </c>
      <c r="E22" s="8">
        <f>'[1]Hotel 2a'!E22</f>
        <v>37.6</v>
      </c>
      <c r="F22">
        <f>'[1]Hotel 2a'!F22</f>
        <v>86</v>
      </c>
      <c r="G22" s="9">
        <f>'[1]Hotel 2a'!G22</f>
        <v>16</v>
      </c>
      <c r="I22" t="s">
        <v>37</v>
      </c>
      <c r="J22" s="15" t="e">
        <f ca="1">FINV(J21,J19,J20)</f>
        <v>#NAME?</v>
      </c>
    </row>
    <row r="23" spans="1:19" x14ac:dyDescent="0.35">
      <c r="A23" s="8">
        <f>'[1]Hotel 2a'!A23</f>
        <v>36.9</v>
      </c>
      <c r="B23">
        <v>73</v>
      </c>
      <c r="C23" s="9">
        <f>'[1]Hotel 2a'!C23</f>
        <v>12</v>
      </c>
      <c r="E23" s="8">
        <f>'[1]Hotel 2a'!E23</f>
        <v>40.6</v>
      </c>
      <c r="F23">
        <f>'[1]Hotel 2a'!F23</f>
        <v>48</v>
      </c>
      <c r="G23" s="9">
        <f>'[1]Hotel 2a'!G23</f>
        <v>21</v>
      </c>
      <c r="I23" t="s">
        <v>49</v>
      </c>
      <c r="J23" s="15" t="e">
        <f ca="1">FDIST(J18,J19,J20)</f>
        <v>#NAME?</v>
      </c>
    </row>
    <row r="24" spans="1:19" x14ac:dyDescent="0.35">
      <c r="A24" s="8">
        <f>'[1]Hotel 2a'!A24</f>
        <v>39.299999999999997</v>
      </c>
      <c r="B24">
        <v>76</v>
      </c>
      <c r="C24" s="9">
        <v>2</v>
      </c>
      <c r="E24" s="8"/>
      <c r="G24" s="9"/>
      <c r="I24" t="s">
        <v>36</v>
      </c>
      <c r="J24" s="23" t="e">
        <f ca="1">IF(J23&lt;= J21,"yes","no")</f>
        <v>#NAME?</v>
      </c>
    </row>
    <row r="25" spans="1:19" x14ac:dyDescent="0.35">
      <c r="A25" s="13">
        <f>'[1]Hotel 2a'!A25</f>
        <v>38.799999999999997</v>
      </c>
      <c r="B25" s="12">
        <f>'[1]Hotel 2a'!B25</f>
        <v>67</v>
      </c>
      <c r="C25" s="14">
        <f>'[1]Hotel 2a'!C25</f>
        <v>13</v>
      </c>
      <c r="E25" s="13"/>
      <c r="F25" s="12"/>
      <c r="G25" s="14"/>
    </row>
    <row r="26" spans="1:19" x14ac:dyDescent="0.35">
      <c r="I26" t="s">
        <v>54</v>
      </c>
    </row>
    <row r="27" spans="1:19" x14ac:dyDescent="0.35">
      <c r="A27" s="5">
        <f>AVERAGE(A6:A25)</f>
        <v>37.289999999999992</v>
      </c>
      <c r="B27" s="4">
        <f>AVERAGE(B6:B25)</f>
        <v>74.5</v>
      </c>
      <c r="C27" s="6">
        <f>AVERAGE(C6:C25)</f>
        <v>15.55</v>
      </c>
      <c r="D27" s="2" t="s">
        <v>51</v>
      </c>
      <c r="E27" s="5">
        <f>AVERAGE(E6:E25)</f>
        <v>39.444444444444443</v>
      </c>
      <c r="F27" s="4">
        <f>AVERAGE(F6:F25)</f>
        <v>62.277777777777779</v>
      </c>
      <c r="G27" s="6">
        <f>AVERAGE(G6:G25)</f>
        <v>20.111111111111111</v>
      </c>
    </row>
    <row r="28" spans="1:19" ht="16.5" x14ac:dyDescent="0.35">
      <c r="A28" s="13">
        <f>VAR(A6:A25)</f>
        <v>1.0419999999999989</v>
      </c>
      <c r="B28" s="12">
        <f>VAR(B6:B25)</f>
        <v>59.94736842105263</v>
      </c>
      <c r="C28" s="14">
        <f>VAR(C6:C25)</f>
        <v>89.102631578947353</v>
      </c>
      <c r="D28" s="2" t="s">
        <v>52</v>
      </c>
      <c r="E28" s="13">
        <f>VAR(E6:E25)</f>
        <v>1.4967320261437886</v>
      </c>
      <c r="F28" s="12">
        <f>VAR(F6:F25)</f>
        <v>175.15359477124173</v>
      </c>
      <c r="G28" s="14">
        <f>VAR(G6:G25)</f>
        <v>24.457516339869258</v>
      </c>
      <c r="I28" t="s">
        <v>48</v>
      </c>
      <c r="J28" s="7" t="e">
        <f ca="1">[2]!HotellingT2(A6:C25,E6:G23,3)</f>
        <v>#NAME?</v>
      </c>
      <c r="L28" t="e">
        <f t="array" aca="1" ref="L28:M32" ca="1">[2]!Hotelling(A6:C25,E6:G23,3,TRUE)</f>
        <v>#NAME?</v>
      </c>
      <c r="M28" s="7" t="e">
        <f ca="1"/>
        <v>#NAME?</v>
      </c>
    </row>
    <row r="29" spans="1:19" x14ac:dyDescent="0.35">
      <c r="I29" t="s">
        <v>35</v>
      </c>
      <c r="J29" s="15" t="e">
        <f ca="1">[2]!HotellingF(A6:C25,E6:G23,3)</f>
        <v>#NAME?</v>
      </c>
      <c r="L29" t="e">
        <f ca="1"/>
        <v>#NAME?</v>
      </c>
      <c r="M29" s="15" t="e">
        <f ca="1"/>
        <v>#NAME?</v>
      </c>
    </row>
    <row r="30" spans="1:19" x14ac:dyDescent="0.35">
      <c r="I30" t="s">
        <v>21</v>
      </c>
      <c r="J30" s="15" t="e">
        <f ca="1">[2]!Hotellingdf1(A6:C25,E6:G23,3)</f>
        <v>#NAME?</v>
      </c>
      <c r="L30" t="e">
        <f ca="1"/>
        <v>#NAME?</v>
      </c>
      <c r="M30" s="15" t="e">
        <f ca="1"/>
        <v>#NAME?</v>
      </c>
    </row>
    <row r="31" spans="1:19" x14ac:dyDescent="0.35">
      <c r="I31" t="s">
        <v>23</v>
      </c>
      <c r="J31" s="15" t="e">
        <f ca="1">[2]!Hotellingdf2(A6:C25,E6:G23,3)</f>
        <v>#NAME?</v>
      </c>
      <c r="L31" t="e">
        <f ca="1"/>
        <v>#NAME?</v>
      </c>
      <c r="M31" s="15" t="e">
        <f ca="1"/>
        <v>#NAME?</v>
      </c>
    </row>
    <row r="32" spans="1:19" x14ac:dyDescent="0.35">
      <c r="I32" t="s">
        <v>20</v>
      </c>
      <c r="J32" s="10" t="e">
        <f ca="1">[2]!T2TEST(A6:C25,E6:G23,3)</f>
        <v>#NAME?</v>
      </c>
      <c r="L32" t="e">
        <f ca="1"/>
        <v>#NAME?</v>
      </c>
      <c r="M32" s="10" t="e">
        <f ca="1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787E5-394D-44BE-AB15-0C86D12A5C75}">
  <dimension ref="A1:W20"/>
  <sheetViews>
    <sheetView workbookViewId="0"/>
  </sheetViews>
  <sheetFormatPr defaultRowHeight="14.5" x14ac:dyDescent="0.35"/>
  <cols>
    <col min="5" max="6" width="10.81640625" customWidth="1"/>
    <col min="7" max="7" width="6.453125" customWidth="1"/>
    <col min="8" max="8" width="10.81640625" customWidth="1"/>
    <col min="9" max="13" width="8.54296875" customWidth="1"/>
    <col min="15" max="15" width="9.7265625" customWidth="1"/>
    <col min="16" max="17" width="7.54296875" customWidth="1"/>
  </cols>
  <sheetData>
    <row r="1" spans="1:23" x14ac:dyDescent="0.35">
      <c r="A1" s="1" t="s">
        <v>0</v>
      </c>
      <c r="P1" t="s">
        <v>1</v>
      </c>
    </row>
    <row r="3" spans="1:23" x14ac:dyDescent="0.35">
      <c r="A3" t="str">
        <f>'[1]Hotel 2a'!I9</f>
        <v>Covariance - Drug</v>
      </c>
      <c r="E3" t="s">
        <v>0</v>
      </c>
      <c r="I3" s="2" t="s">
        <v>2</v>
      </c>
      <c r="J3" s="2" t="s">
        <v>3</v>
      </c>
      <c r="K3" s="2" t="s">
        <v>4</v>
      </c>
      <c r="L3" s="2" t="s">
        <v>5</v>
      </c>
      <c r="M3" s="2" t="s">
        <v>6</v>
      </c>
      <c r="N3" s="2" t="s">
        <v>7</v>
      </c>
      <c r="P3" t="s">
        <v>8</v>
      </c>
      <c r="S3" t="s">
        <v>9</v>
      </c>
      <c r="V3" t="s">
        <v>10</v>
      </c>
    </row>
    <row r="4" spans="1:23" x14ac:dyDescent="0.35">
      <c r="H4" t="s">
        <v>11</v>
      </c>
      <c r="I4" s="3">
        <f>'[1]Hotel 2a'!J7-1</f>
        <v>19</v>
      </c>
      <c r="J4" s="4">
        <f>1/I4</f>
        <v>5.2631578947368418E-2</v>
      </c>
      <c r="K4" s="4">
        <f>J4^2</f>
        <v>2.7700831024930744E-3</v>
      </c>
      <c r="L4" s="4">
        <f>MDETERM(A5:C7)</f>
        <v>4814.17369062545</v>
      </c>
      <c r="M4" s="4">
        <f>LN(L4)</f>
        <v>8.4793196980048613</v>
      </c>
      <c r="N4" s="4">
        <f>M4*I4</f>
        <v>161.10707426209237</v>
      </c>
    </row>
    <row r="5" spans="1:23" x14ac:dyDescent="0.35">
      <c r="A5" s="5">
        <f>'[1]Hotel 3a'!I11</f>
        <v>1.0419999999999989</v>
      </c>
      <c r="B5" s="4">
        <f>'[1]Hotel 3a'!J11</f>
        <v>-2.7947368421052605</v>
      </c>
      <c r="C5" s="6">
        <f>'[1]Hotel 3a'!K11</f>
        <v>0.35842105263158314</v>
      </c>
      <c r="E5" t="s">
        <v>12</v>
      </c>
      <c r="F5" s="7">
        <f>COUNTA(H4:H5)</f>
        <v>2</v>
      </c>
      <c r="H5" t="s">
        <v>13</v>
      </c>
      <c r="I5" s="2">
        <f>'[1]Hotel 2a'!K7-1</f>
        <v>17</v>
      </c>
      <c r="J5">
        <f>1/I5</f>
        <v>5.8823529411764705E-2</v>
      </c>
      <c r="K5">
        <f>J5^2</f>
        <v>3.4602076124567475E-3</v>
      </c>
      <c r="L5">
        <f>MDETERM(A11:C13)</f>
        <v>2842.1891624262134</v>
      </c>
      <c r="M5">
        <f>LN(L5)</f>
        <v>7.9523298660571884</v>
      </c>
      <c r="N5">
        <f>M5*I5</f>
        <v>135.1896077229722</v>
      </c>
      <c r="P5" s="5">
        <f>A5</f>
        <v>1.0419999999999989</v>
      </c>
      <c r="Q5" s="6">
        <f>I4+1</f>
        <v>20</v>
      </c>
      <c r="S5" t="s">
        <v>14</v>
      </c>
      <c r="T5" s="7" t="e">
        <f ca="1">[2]!BOXM(P5:Q6,F6)</f>
        <v>#NAME?</v>
      </c>
      <c r="V5" t="s">
        <v>14</v>
      </c>
      <c r="W5" s="7" t="e">
        <f ca="1">[2]!BOXM(P5:Q6,F6)</f>
        <v>#NAME?</v>
      </c>
    </row>
    <row r="6" spans="1:23" x14ac:dyDescent="0.35">
      <c r="A6" s="8">
        <f>'[1]Hotel 3a'!I12</f>
        <v>-2.7947368421052605</v>
      </c>
      <c r="B6">
        <f>'[1]Hotel 3a'!J12</f>
        <v>59.94736842105263</v>
      </c>
      <c r="C6" s="9">
        <f>'[1]Hotel 3a'!K12</f>
        <v>-7.8157894736842097</v>
      </c>
      <c r="E6" t="s">
        <v>15</v>
      </c>
      <c r="F6" s="10">
        <f>COUNT(A5:C5)</f>
        <v>3</v>
      </c>
      <c r="H6" t="s">
        <v>16</v>
      </c>
      <c r="I6" s="11">
        <f>SUM(I4:I5)</f>
        <v>36</v>
      </c>
      <c r="J6" s="12">
        <f>1/I6</f>
        <v>2.7777777777777776E-2</v>
      </c>
      <c r="K6" s="12">
        <f>J6^2</f>
        <v>7.716049382716049E-4</v>
      </c>
      <c r="L6" s="12">
        <f>MDETERM(A17:C19)</f>
        <v>5711.8229315926937</v>
      </c>
      <c r="M6" s="12">
        <f>LN(L6)</f>
        <v>8.6502935041679034</v>
      </c>
      <c r="N6">
        <f>M6*I6</f>
        <v>311.41056615004453</v>
      </c>
      <c r="P6" s="13">
        <f>A11</f>
        <v>1.4967320261437886</v>
      </c>
      <c r="Q6" s="14">
        <f>I5+1</f>
        <v>18</v>
      </c>
      <c r="S6" t="s">
        <v>17</v>
      </c>
      <c r="T6" s="15" t="e">
        <f ca="1">[2]!BOXdf1(P5:Q6,3)</f>
        <v>#NAME?</v>
      </c>
      <c r="V6" t="s">
        <v>18</v>
      </c>
      <c r="W6" s="15" t="e">
        <f ca="1">[2]!BOXF(P5:Q6,3)</f>
        <v>#NAME?</v>
      </c>
    </row>
    <row r="7" spans="1:23" x14ac:dyDescent="0.35">
      <c r="A7" s="13">
        <f>'[1]Hotel 3a'!I13</f>
        <v>0.35842105263158314</v>
      </c>
      <c r="B7" s="12">
        <f>'[1]Hotel 3a'!J13</f>
        <v>-7.8157894736842097</v>
      </c>
      <c r="C7" s="14">
        <f>'[1]Hotel 3a'!K13</f>
        <v>89.102631578947353</v>
      </c>
      <c r="H7" t="s">
        <v>19</v>
      </c>
      <c r="I7" s="16"/>
      <c r="J7" s="4">
        <f>SUM(J4:J5)-J6</f>
        <v>8.3677330581355347E-2</v>
      </c>
      <c r="K7" s="4">
        <f>SUM(K4:K5)-K6</f>
        <v>5.458685776678217E-3</v>
      </c>
      <c r="L7" s="4"/>
      <c r="M7" s="17"/>
      <c r="N7" s="4">
        <f>N6-SUM(N4:N5)</f>
        <v>15.113884164979993</v>
      </c>
      <c r="S7" t="s">
        <v>20</v>
      </c>
      <c r="T7" s="10" t="e">
        <f ca="1">[2]!BOXTEST(P5:Q6,3,FALSE)</f>
        <v>#NAME?</v>
      </c>
      <c r="V7" t="s">
        <v>21</v>
      </c>
      <c r="W7" s="15" t="e">
        <f ca="1">[2]!BOXdf1(P5:Q6,3)</f>
        <v>#NAME?</v>
      </c>
    </row>
    <row r="8" spans="1:23" x14ac:dyDescent="0.35">
      <c r="P8" s="18" t="s">
        <v>22</v>
      </c>
      <c r="Q8" s="19">
        <v>20</v>
      </c>
      <c r="V8" t="s">
        <v>23</v>
      </c>
      <c r="W8" s="15" t="e">
        <f ca="1">[2]!BOXdf2(P5:Q6,3)</f>
        <v>#NAME?</v>
      </c>
    </row>
    <row r="9" spans="1:23" x14ac:dyDescent="0.35">
      <c r="A9" t="str">
        <f>'[1]Hotel 2a'!M9</f>
        <v>Covariance - Placebo</v>
      </c>
      <c r="P9" s="20" t="s">
        <v>24</v>
      </c>
      <c r="Q9" s="21">
        <v>18</v>
      </c>
      <c r="V9" t="s">
        <v>20</v>
      </c>
      <c r="W9" s="10" t="e">
        <f ca="1">[2]!BOXTEST(P5:Q6,3)</f>
        <v>#NAME?</v>
      </c>
    </row>
    <row r="10" spans="1:23" x14ac:dyDescent="0.35">
      <c r="S10" t="s">
        <v>25</v>
      </c>
    </row>
    <row r="11" spans="1:23" x14ac:dyDescent="0.35">
      <c r="A11" s="5">
        <f>'[1]Hotel 3a'!M11</f>
        <v>1.4967320261437886</v>
      </c>
      <c r="B11" s="4">
        <f>'[1]Hotel 3a'!N11</f>
        <v>-10.430718954248354</v>
      </c>
      <c r="C11" s="6">
        <f>'[1]Hotel 3a'!O11</f>
        <v>0.64771241830065429</v>
      </c>
      <c r="E11" t="s">
        <v>14</v>
      </c>
      <c r="F11" s="7">
        <f>N7</f>
        <v>15.113884164979993</v>
      </c>
      <c r="H11" t="s">
        <v>26</v>
      </c>
      <c r="I11" s="7">
        <f>(F6-1)*(F6+2)/(6*(F5-1))*K7</f>
        <v>9.097809627797028E-3</v>
      </c>
    </row>
    <row r="12" spans="1:23" x14ac:dyDescent="0.35">
      <c r="A12" s="8">
        <f>'[1]Hotel 3a'!M12</f>
        <v>-10.430718954248354</v>
      </c>
      <c r="B12">
        <f>'[1]Hotel 3a'!N12</f>
        <v>175.15359477124181</v>
      </c>
      <c r="C12" s="9">
        <f>'[1]Hotel 3a'!O12</f>
        <v>-28.562091503267972</v>
      </c>
      <c r="E12" t="s">
        <v>27</v>
      </c>
      <c r="F12" s="15">
        <f>(2*F6^2+3*F6-1)/(6*(F6+1)*(F5-1))*J7</f>
        <v>9.0650441463134959E-2</v>
      </c>
      <c r="H12" t="s">
        <v>23</v>
      </c>
      <c r="I12" s="15">
        <f>(F14+2)/ABS(I11-F12^2)</f>
        <v>9087.7377767667494</v>
      </c>
      <c r="S12" s="5" t="e">
        <f t="array" aca="1" ref="S12:U14" ca="1">[2]!COVPooled(P5:Q6,3)</f>
        <v>#NAME?</v>
      </c>
      <c r="T12" s="4" t="e">
        <f ca="1"/>
        <v>#NAME?</v>
      </c>
      <c r="U12" s="6" t="e">
        <f ca="1"/>
        <v>#NAME?</v>
      </c>
    </row>
    <row r="13" spans="1:23" x14ac:dyDescent="0.35">
      <c r="A13" s="13">
        <f>'[1]Hotel 3a'!M13</f>
        <v>0.64771241830065429</v>
      </c>
      <c r="B13" s="12">
        <f>'[1]Hotel 3a'!N13</f>
        <v>-28.562091503267972</v>
      </c>
      <c r="C13" s="14">
        <f>'[1]Hotel 3a'!O13</f>
        <v>24.457516339869276</v>
      </c>
      <c r="E13" s="22" t="s">
        <v>28</v>
      </c>
      <c r="F13" s="15">
        <f>F11*(1-F12)</f>
        <v>13.743803893201871</v>
      </c>
      <c r="H13" t="s">
        <v>29</v>
      </c>
      <c r="I13" s="15">
        <f>F14/(1-F12-F14/I12)</f>
        <v>6.6029167655782279</v>
      </c>
      <c r="S13" s="8" t="e">
        <f ca="1"/>
        <v>#NAME?</v>
      </c>
      <c r="T13" t="e">
        <f ca="1"/>
        <v>#NAME?</v>
      </c>
      <c r="U13" s="9" t="e">
        <f ca="1"/>
        <v>#NAME?</v>
      </c>
    </row>
    <row r="14" spans="1:23" x14ac:dyDescent="0.35">
      <c r="E14" s="22" t="s">
        <v>17</v>
      </c>
      <c r="F14" s="15">
        <f>F6*(F6+1)*(F5-1)/2</f>
        <v>6</v>
      </c>
      <c r="H14" t="s">
        <v>30</v>
      </c>
      <c r="I14" s="15">
        <f>I12/(1-F12+2/I12)</f>
        <v>9991.2501736878748</v>
      </c>
      <c r="S14" s="13" t="e">
        <f ca="1"/>
        <v>#NAME?</v>
      </c>
      <c r="T14" s="12" t="e">
        <f ca="1"/>
        <v>#NAME?</v>
      </c>
      <c r="U14" s="14" t="e">
        <f ca="1"/>
        <v>#NAME?</v>
      </c>
    </row>
    <row r="15" spans="1:23" x14ac:dyDescent="0.35">
      <c r="A15" t="str">
        <f>'[1]Hotel 2a'!Q9</f>
        <v>Covariance - Pooled</v>
      </c>
      <c r="E15" s="22" t="s">
        <v>20</v>
      </c>
      <c r="F15" s="15">
        <f>CHIDIST(F13,F14)</f>
        <v>3.2632685034474126E-2</v>
      </c>
      <c r="H15" t="s">
        <v>31</v>
      </c>
      <c r="I15" s="15">
        <f>F11/I13</f>
        <v>2.2889708747761937</v>
      </c>
    </row>
    <row r="16" spans="1:23" x14ac:dyDescent="0.35">
      <c r="E16" s="22" t="s">
        <v>32</v>
      </c>
      <c r="F16" s="15">
        <v>0.05</v>
      </c>
      <c r="H16" t="s">
        <v>33</v>
      </c>
      <c r="I16" s="15">
        <f>I12*F11/(F14*(I14-F11))</f>
        <v>2.2946595103492755</v>
      </c>
    </row>
    <row r="17" spans="1:9" x14ac:dyDescent="0.35">
      <c r="A17" s="5">
        <f t="array" ref="A17:C19">(A5:C7*I4+A11:C13*I5)/I6</f>
        <v>1.2567345679012329</v>
      </c>
      <c r="B17" s="4">
        <v>-6.400617283950611</v>
      </c>
      <c r="C17" s="6">
        <v>0.49503086419753345</v>
      </c>
      <c r="E17" s="22" t="s">
        <v>34</v>
      </c>
      <c r="F17" s="15">
        <f>CHIINV(F16,F14)</f>
        <v>12.591587243743978</v>
      </c>
      <c r="H17" t="s">
        <v>35</v>
      </c>
      <c r="I17" s="15">
        <f>IF(I11&gt;F12^2,I15,I16)</f>
        <v>2.2889708747761937</v>
      </c>
    </row>
    <row r="18" spans="1:9" x14ac:dyDescent="0.35">
      <c r="A18" s="8">
        <v>-6.400617283950611</v>
      </c>
      <c r="B18">
        <v>114.35030864197532</v>
      </c>
      <c r="C18" s="9">
        <v>-17.612654320987655</v>
      </c>
      <c r="E18" s="22" t="s">
        <v>36</v>
      </c>
      <c r="F18" s="23" t="str">
        <f>IF(F15&lt;F16,"yes","no")</f>
        <v>yes</v>
      </c>
      <c r="H18" t="s">
        <v>20</v>
      </c>
      <c r="I18" s="15">
        <f>FDIST(I17,F14,I12)</f>
        <v>3.2845360381327467E-2</v>
      </c>
    </row>
    <row r="19" spans="1:9" x14ac:dyDescent="0.35">
      <c r="A19" s="13">
        <v>0.49503086419753345</v>
      </c>
      <c r="B19" s="12">
        <v>-17.612654320987655</v>
      </c>
      <c r="C19" s="14">
        <v>58.575771604938268</v>
      </c>
      <c r="H19" t="s">
        <v>37</v>
      </c>
      <c r="I19" s="15">
        <f>FINV(F16,F14,I12)</f>
        <v>2.0995901868025331</v>
      </c>
    </row>
    <row r="20" spans="1:9" x14ac:dyDescent="0.35">
      <c r="H20" t="s">
        <v>36</v>
      </c>
      <c r="I20" s="23" t="str">
        <f>IF(I18&lt;F16,"yes","no")</f>
        <v>yes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Hotel 3</vt:lpstr>
      <vt:lpstr>Hotel 3a</vt:lpstr>
      <vt:lpstr>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2025-10-28T19:26:14Z</dcterms:created>
  <dcterms:modified xsi:type="dcterms:W3CDTF">2025-10-28T19:30:10Z</dcterms:modified>
</cp:coreProperties>
</file>