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D8271FB-5B01-4FE2-A495-0849F2A84774}" xr6:coauthVersionLast="47" xr6:coauthVersionMax="47" xr10:uidLastSave="{00000000-0000-0000-0000-000000000000}"/>
  <bookViews>
    <workbookView xWindow="-110" yWindow="-110" windowWidth="19420" windowHeight="10300" xr2:uid="{F874819C-19DB-4992-B269-C812DEA4E136}"/>
  </bookViews>
  <sheets>
    <sheet name="Title" sheetId="2" r:id="rId1"/>
    <sheet name="Hotel 2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M11" i="1" a="1"/>
  <c r="M11" i="1" s="1"/>
  <c r="I11" i="1" a="1"/>
  <c r="K11" i="1" s="1"/>
  <c r="U6" i="1" a="1"/>
  <c r="V10" i="1" s="1"/>
  <c r="O43" i="1"/>
  <c r="N41" i="1"/>
  <c r="N39" i="1"/>
  <c r="P37" i="1"/>
  <c r="O37" i="1"/>
  <c r="N37" i="1"/>
  <c r="N28" i="1"/>
  <c r="G28" i="1"/>
  <c r="P28" i="1" s="1"/>
  <c r="F28" i="1"/>
  <c r="O28" i="1" s="1"/>
  <c r="E28" i="1"/>
  <c r="C28" i="1"/>
  <c r="B28" i="1"/>
  <c r="A28" i="1"/>
  <c r="P27" i="1"/>
  <c r="O27" i="1"/>
  <c r="N27" i="1"/>
  <c r="G27" i="1"/>
  <c r="F27" i="1"/>
  <c r="E27" i="1"/>
  <c r="K4" i="1" s="1" a="1"/>
  <c r="C27" i="1"/>
  <c r="B27" i="1"/>
  <c r="J4" i="1" s="1" a="1"/>
  <c r="A27" i="1"/>
  <c r="O24" i="1"/>
  <c r="P24" i="1" s="1"/>
  <c r="N21" i="1"/>
  <c r="N22" i="1" s="1"/>
  <c r="O22" i="1" s="1"/>
  <c r="P22" i="1" s="1"/>
  <c r="N19" i="1"/>
  <c r="O19" i="1" s="1"/>
  <c r="J19" i="1"/>
  <c r="P17" i="1"/>
  <c r="O17" i="1"/>
  <c r="N17" i="1"/>
  <c r="J16" i="1"/>
  <c r="K7" i="1"/>
  <c r="J15" i="1" s="1"/>
  <c r="J20" i="1" s="1"/>
  <c r="J7" i="1"/>
  <c r="N11" i="1" l="1"/>
  <c r="O11" i="1"/>
  <c r="M12" i="1"/>
  <c r="N12" i="1"/>
  <c r="O12" i="1"/>
  <c r="M13" i="1"/>
  <c r="N13" i="1"/>
  <c r="I11" i="1"/>
  <c r="J11" i="1"/>
  <c r="V6" i="1"/>
  <c r="U7" i="1"/>
  <c r="I12" i="1"/>
  <c r="J12" i="1"/>
  <c r="V8" i="1"/>
  <c r="I13" i="1"/>
  <c r="O13" i="1"/>
  <c r="U9" i="1"/>
  <c r="J13" i="1"/>
  <c r="V7" i="1"/>
  <c r="K12" i="1"/>
  <c r="V9" i="1"/>
  <c r="K13" i="1"/>
  <c r="U6" i="1"/>
  <c r="U10" i="1"/>
  <c r="U8" i="1"/>
  <c r="J6" i="1"/>
  <c r="L6" i="1" s="1"/>
  <c r="J5" i="1"/>
  <c r="J4" i="1"/>
  <c r="N23" i="1"/>
  <c r="O23" i="1" s="1"/>
  <c r="P23" i="1" s="1"/>
  <c r="J22" i="1"/>
  <c r="N25" i="1" s="1"/>
  <c r="K4" i="1"/>
  <c r="K6" i="1"/>
  <c r="K5" i="1"/>
  <c r="P19" i="1"/>
  <c r="O39" i="1"/>
  <c r="N20" i="1"/>
  <c r="N29" i="1"/>
  <c r="N30" i="1" s="1"/>
  <c r="N45" i="1" s="1"/>
  <c r="O21" i="1"/>
  <c r="P43" i="1"/>
  <c r="Q11" i="1" l="1" a="1"/>
  <c r="S13" i="1" s="1"/>
  <c r="O41" i="1"/>
  <c r="P21" i="1"/>
  <c r="P41" i="1" s="1"/>
  <c r="N40" i="1"/>
  <c r="N42" i="1" s="1"/>
  <c r="N44" i="1" s="1"/>
  <c r="O20" i="1"/>
  <c r="P39" i="1"/>
  <c r="O25" i="1"/>
  <c r="N26" i="1"/>
  <c r="L4" i="1"/>
  <c r="L5" i="1"/>
  <c r="R11" i="1" l="1"/>
  <c r="S11" i="1"/>
  <c r="Q12" i="1"/>
  <c r="R12" i="1"/>
  <c r="S12" i="1"/>
  <c r="Q13" i="1"/>
  <c r="R13" i="1"/>
  <c r="Q11" i="1"/>
  <c r="N18" i="1" a="1"/>
  <c r="J17" i="1" a="1"/>
  <c r="J17" i="1" s="1"/>
  <c r="J18" i="1" s="1"/>
  <c r="J23" i="1" s="1"/>
  <c r="J24" i="1" s="1"/>
  <c r="O26" i="1"/>
  <c r="P25" i="1"/>
  <c r="O40" i="1"/>
  <c r="O42" i="1" s="1"/>
  <c r="O44" i="1" s="1"/>
  <c r="P20" i="1"/>
  <c r="O29" i="1"/>
  <c r="O30" i="1" s="1"/>
  <c r="O45" i="1" s="1"/>
  <c r="P26" i="1" l="1"/>
  <c r="P18" i="1"/>
  <c r="O18" i="1"/>
  <c r="N18" i="1"/>
  <c r="P40" i="1"/>
  <c r="P42" i="1" s="1"/>
  <c r="P44" i="1" s="1"/>
  <c r="P29" i="1"/>
  <c r="P30" i="1" s="1"/>
  <c r="P45" i="1" s="1"/>
  <c r="N32" i="1" l="1"/>
  <c r="N33" i="1" s="1"/>
  <c r="N38" i="1"/>
  <c r="N31" i="1"/>
  <c r="O32" i="1"/>
  <c r="O33" i="1" s="1"/>
  <c r="O38" i="1"/>
  <c r="O31" i="1"/>
  <c r="P32" i="1"/>
  <c r="P38" i="1"/>
  <c r="P31" i="1"/>
  <c r="P33" i="1" l="1"/>
  <c r="P47" i="1"/>
  <c r="P46" i="1"/>
  <c r="O47" i="1"/>
  <c r="O46" i="1"/>
  <c r="N47" i="1"/>
  <c r="N46" i="1"/>
  <c r="N48" i="1" l="1"/>
  <c r="O48" i="1"/>
  <c r="P48" i="1"/>
</calcChain>
</file>

<file path=xl/sharedStrings.xml><?xml version="1.0" encoding="utf-8"?>
<sst xmlns="http://schemas.openxmlformats.org/spreadsheetml/2006/main" count="74" uniqueCount="47">
  <si>
    <t>Hotelling T-square: Independent Samples</t>
  </si>
  <si>
    <t>Real Statistics data analysis tool</t>
  </si>
  <si>
    <t>Means</t>
  </si>
  <si>
    <t>Drug</t>
  </si>
  <si>
    <t>Placebo</t>
  </si>
  <si>
    <t>Diff</t>
  </si>
  <si>
    <t>Hotelling T-square Test</t>
  </si>
  <si>
    <t>Fever</t>
  </si>
  <si>
    <t>Two-samples (equal covariance matrices)</t>
  </si>
  <si>
    <t>Pressure</t>
  </si>
  <si>
    <t>Aches</t>
  </si>
  <si>
    <t>Count</t>
  </si>
  <si>
    <t>Covariance - Drug</t>
  </si>
  <si>
    <t>Covariance - Placebo</t>
  </si>
  <si>
    <t>Covariance - Pooled</t>
  </si>
  <si>
    <t>n</t>
  </si>
  <si>
    <t>Simultaneous confidence intervals</t>
  </si>
  <si>
    <t>k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</si>
  <si>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</si>
  <si>
    <t>F</t>
  </si>
  <si>
    <t>mean diff</t>
  </si>
  <si>
    <t>df1</t>
  </si>
  <si>
    <t>n1</t>
  </si>
  <si>
    <t>df2</t>
  </si>
  <si>
    <t>n2</t>
  </si>
  <si>
    <t>α</t>
  </si>
  <si>
    <t>F-crit</t>
  </si>
  <si>
    <t>P-value</t>
  </si>
  <si>
    <t>sig</t>
  </si>
  <si>
    <t>Real Statistics formula</t>
  </si>
  <si>
    <t>t-crit</t>
  </si>
  <si>
    <t>mean</t>
  </si>
  <si>
    <t>var1</t>
  </si>
  <si>
    <t>var</t>
  </si>
  <si>
    <t>var2</t>
  </si>
  <si>
    <t>s</t>
  </si>
  <si>
    <t>se</t>
  </si>
  <si>
    <t>lower</t>
  </si>
  <si>
    <t>p-value</t>
  </si>
  <si>
    <t>upper</t>
  </si>
  <si>
    <t>ok</t>
  </si>
  <si>
    <t>Bonferroni t-tests</t>
  </si>
  <si>
    <t>df</t>
  </si>
  <si>
    <t>Real Statistics Using Excel</t>
  </si>
  <si>
    <t>Updated</t>
  </si>
  <si>
    <t>Copyright © 2013 - 2025 Charles Zaiontz</t>
  </si>
  <si>
    <t>Hotelling's T-square: Real Statistics Capabilities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</si>
</sst>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8" xfId="0" applyBorder="1"/>
    <xf numFmtId="164" fontId="0" fillId="0" borderId="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2" xfId="0" applyNumberFormat="1" applyBorder="1"/>
    <xf numFmtId="0" fontId="0" fillId="0" borderId="14" xfId="0" applyBorder="1"/>
    <xf numFmtId="0" fontId="0" fillId="0" borderId="10" xfId="0" applyBorder="1" applyAlignment="1">
      <alignment horizontal="right"/>
    </xf>
    <xf numFmtId="164" fontId="0" fillId="0" borderId="3" xfId="0" applyNumberFormat="1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F2EB-EC0C-485E-A918-7E71688B3652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43</v>
      </c>
    </row>
    <row r="2" spans="1:2" x14ac:dyDescent="0.35">
      <c r="A2" t="s">
        <v>46</v>
      </c>
    </row>
    <row r="4" spans="1:2" x14ac:dyDescent="0.35">
      <c r="A4" t="s">
        <v>44</v>
      </c>
      <c r="B4" s="31">
        <v>45958</v>
      </c>
    </row>
    <row r="6" spans="1:2" x14ac:dyDescent="0.35">
      <c r="A6" s="3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8FFD-35F9-4A32-AC82-3E061AFB8A96}">
  <dimension ref="A1:V48"/>
  <sheetViews>
    <sheetView zoomScaleNormal="100" workbookViewId="0"/>
  </sheetViews>
  <sheetFormatPr defaultRowHeight="14.5" x14ac:dyDescent="0.35"/>
  <cols>
    <col min="24" max="24" width="9.54296875" customWidth="1"/>
  </cols>
  <sheetData>
    <row r="1" spans="1:22" x14ac:dyDescent="0.35">
      <c r="A1" s="1" t="s">
        <v>0</v>
      </c>
      <c r="U1" t="s">
        <v>1</v>
      </c>
    </row>
    <row r="2" spans="1:22" x14ac:dyDescent="0.35">
      <c r="I2" t="s">
        <v>2</v>
      </c>
    </row>
    <row r="3" spans="1:22" x14ac:dyDescent="0.35">
      <c r="A3" t="s">
        <v>3</v>
      </c>
      <c r="E3" t="s">
        <v>4</v>
      </c>
      <c r="J3" s="2" t="s">
        <v>3</v>
      </c>
      <c r="K3" s="2" t="s">
        <v>4</v>
      </c>
      <c r="L3" s="2" t="s">
        <v>5</v>
      </c>
      <c r="U3" t="s">
        <v>6</v>
      </c>
    </row>
    <row r="4" spans="1:22" x14ac:dyDescent="0.35">
      <c r="I4" t="s">
        <v>7</v>
      </c>
      <c r="J4" s="3">
        <f t="array" ref="J4:J6">TRANSPOSE(A27:C27)</f>
        <v>38.69</v>
      </c>
      <c r="K4" s="6">
        <f t="array" ref="K4:K6">TRANSPOSE(E27:G27)</f>
        <v>39.444444444444443</v>
      </c>
      <c r="L4" s="9">
        <f>J4-K4</f>
        <v>-0.75444444444444514</v>
      </c>
      <c r="U4" t="s">
        <v>8</v>
      </c>
    </row>
    <row r="5" spans="1:22" x14ac:dyDescent="0.35">
      <c r="A5" s="2" t="s">
        <v>7</v>
      </c>
      <c r="B5" s="2" t="s">
        <v>9</v>
      </c>
      <c r="C5" s="2" t="s">
        <v>10</v>
      </c>
      <c r="D5" s="2"/>
      <c r="E5" s="2" t="s">
        <v>7</v>
      </c>
      <c r="F5" s="2" t="s">
        <v>9</v>
      </c>
      <c r="G5" s="2" t="s">
        <v>10</v>
      </c>
      <c r="I5" s="10" t="s">
        <v>9</v>
      </c>
      <c r="J5" s="4">
        <v>68.45</v>
      </c>
      <c r="K5" s="7">
        <v>62.277777777777779</v>
      </c>
      <c r="L5" s="11">
        <f>J5-K5</f>
        <v>6.1722222222222243</v>
      </c>
    </row>
    <row r="6" spans="1:22" x14ac:dyDescent="0.35">
      <c r="A6" s="12">
        <v>38.4</v>
      </c>
      <c r="B6" s="13">
        <v>73</v>
      </c>
      <c r="C6" s="6">
        <v>18</v>
      </c>
      <c r="E6" s="3">
        <v>40.9</v>
      </c>
      <c r="F6" s="13">
        <v>54</v>
      </c>
      <c r="G6" s="6">
        <v>14</v>
      </c>
      <c r="I6" t="s">
        <v>10</v>
      </c>
      <c r="J6" s="5">
        <v>18.3</v>
      </c>
      <c r="K6" s="8">
        <v>20.111111111111111</v>
      </c>
      <c r="L6" s="14">
        <f>J6-K6</f>
        <v>-1.81111111111111</v>
      </c>
      <c r="U6" t="e">
        <f t="array" aca="1" ref="U6:V10" ca="1">Hotelling(A6:C25,E6:G23, 2,TRUE)</f>
        <v>#NAME?</v>
      </c>
      <c r="V6" s="15" t="e">
        <f ca="1"/>
        <v>#NAME?</v>
      </c>
    </row>
    <row r="7" spans="1:22" x14ac:dyDescent="0.35">
      <c r="A7" s="18">
        <v>36.799999999999997</v>
      </c>
      <c r="B7">
        <v>85</v>
      </c>
      <c r="C7" s="7">
        <v>14</v>
      </c>
      <c r="E7" s="4">
        <v>39.5</v>
      </c>
      <c r="F7">
        <v>75</v>
      </c>
      <c r="G7" s="7">
        <v>18</v>
      </c>
      <c r="I7" t="s">
        <v>11</v>
      </c>
      <c r="J7">
        <f>COUNT(A6:A25)</f>
        <v>20</v>
      </c>
      <c r="K7">
        <f>COUNT(E6:E25)</f>
        <v>18</v>
      </c>
      <c r="U7" t="e">
        <f ca="1"/>
        <v>#NAME?</v>
      </c>
      <c r="V7" s="16" t="e">
        <f ca="1"/>
        <v>#NAME?</v>
      </c>
    </row>
    <row r="8" spans="1:22" x14ac:dyDescent="0.35">
      <c r="A8" s="18">
        <v>40</v>
      </c>
      <c r="B8">
        <v>58</v>
      </c>
      <c r="C8" s="7">
        <v>20</v>
      </c>
      <c r="E8" s="4">
        <v>39.4</v>
      </c>
      <c r="F8">
        <v>57</v>
      </c>
      <c r="G8" s="7">
        <v>24</v>
      </c>
      <c r="U8" t="e">
        <f ca="1"/>
        <v>#NAME?</v>
      </c>
      <c r="V8" s="16" t="e">
        <f ca="1"/>
        <v>#NAME?</v>
      </c>
    </row>
    <row r="9" spans="1:22" x14ac:dyDescent="0.35">
      <c r="A9" s="18">
        <v>39.799999999999997</v>
      </c>
      <c r="B9">
        <v>80</v>
      </c>
      <c r="C9" s="7">
        <v>20</v>
      </c>
      <c r="E9" s="4">
        <v>38.200000000000003</v>
      </c>
      <c r="F9">
        <v>71</v>
      </c>
      <c r="G9" s="7">
        <v>24</v>
      </c>
      <c r="I9" t="s">
        <v>12</v>
      </c>
      <c r="M9" t="s">
        <v>13</v>
      </c>
      <c r="Q9" t="s">
        <v>14</v>
      </c>
      <c r="U9" t="e">
        <f ca="1"/>
        <v>#NAME?</v>
      </c>
      <c r="V9" s="16" t="e">
        <f ca="1"/>
        <v>#NAME?</v>
      </c>
    </row>
    <row r="10" spans="1:22" x14ac:dyDescent="0.35">
      <c r="A10" s="18">
        <v>38.6</v>
      </c>
      <c r="B10">
        <v>68</v>
      </c>
      <c r="C10" s="7">
        <v>25</v>
      </c>
      <c r="E10" s="4">
        <v>39.700000000000003</v>
      </c>
      <c r="F10">
        <v>65</v>
      </c>
      <c r="G10" s="7">
        <v>22</v>
      </c>
      <c r="U10" t="e">
        <f ca="1"/>
        <v>#NAME?</v>
      </c>
      <c r="V10" s="17" t="e">
        <f ca="1"/>
        <v>#NAME?</v>
      </c>
    </row>
    <row r="11" spans="1:22" x14ac:dyDescent="0.35">
      <c r="A11" s="18">
        <v>39.1</v>
      </c>
      <c r="B11">
        <v>52</v>
      </c>
      <c r="C11" s="7">
        <v>27</v>
      </c>
      <c r="E11" s="4">
        <v>38.9</v>
      </c>
      <c r="F11">
        <v>49</v>
      </c>
      <c r="G11" s="7">
        <v>30</v>
      </c>
      <c r="I11" s="3" t="e">
        <f t="array" aca="1" ref="I11:K13" ca="1">COV(A6:C25)</f>
        <v>#NAME?</v>
      </c>
      <c r="J11" s="13" t="e">
        <f ca="1"/>
        <v>#NAME?</v>
      </c>
      <c r="K11" s="6" t="e">
        <f ca="1"/>
        <v>#NAME?</v>
      </c>
      <c r="M11" s="3" t="e">
        <f t="array" aca="1" ref="M11:O13" ca="1">COV(E6:G23)</f>
        <v>#NAME?</v>
      </c>
      <c r="N11" s="13" t="e">
        <f ca="1"/>
        <v>#NAME?</v>
      </c>
      <c r="O11" s="6" t="e">
        <f ca="1"/>
        <v>#NAME?</v>
      </c>
      <c r="Q11" s="3" t="e">
        <f t="array" aca="1" ref="Q11:S13" ca="1">((J7-1)*I11:K13+(K7-1)*M11:O13)/(J7+K7-2)</f>
        <v>#NAME?</v>
      </c>
      <c r="R11" s="13" t="e">
        <f ca="1"/>
        <v>#NAME?</v>
      </c>
      <c r="S11" s="6" t="e">
        <f ca="1"/>
        <v>#NAME?</v>
      </c>
    </row>
    <row r="12" spans="1:22" x14ac:dyDescent="0.35">
      <c r="A12" s="18">
        <v>38.9</v>
      </c>
      <c r="B12">
        <v>79</v>
      </c>
      <c r="C12" s="7">
        <v>26</v>
      </c>
      <c r="E12" s="4">
        <v>38.6</v>
      </c>
      <c r="F12">
        <v>58</v>
      </c>
      <c r="G12" s="7">
        <v>25</v>
      </c>
      <c r="I12" s="4" t="e">
        <f ca="1"/>
        <v>#NAME?</v>
      </c>
      <c r="J12" t="e">
        <f ca="1"/>
        <v>#NAME?</v>
      </c>
      <c r="K12" s="7" t="e">
        <f ca="1"/>
        <v>#NAME?</v>
      </c>
      <c r="M12" s="4" t="e">
        <f ca="1"/>
        <v>#NAME?</v>
      </c>
      <c r="N12" t="e">
        <f ca="1"/>
        <v>#NAME?</v>
      </c>
      <c r="O12" s="7" t="e">
        <f ca="1"/>
        <v>#NAME?</v>
      </c>
      <c r="Q12" s="4" t="e">
        <f ca="1"/>
        <v>#NAME?</v>
      </c>
      <c r="R12" t="e">
        <f ca="1"/>
        <v>#NAME?</v>
      </c>
      <c r="S12" s="7" t="e">
        <f ca="1"/>
        <v>#NAME?</v>
      </c>
    </row>
    <row r="13" spans="1:22" x14ac:dyDescent="0.35">
      <c r="A13" s="18">
        <v>36.799999999999997</v>
      </c>
      <c r="B13">
        <v>100</v>
      </c>
      <c r="C13" s="7">
        <v>8</v>
      </c>
      <c r="E13" s="4">
        <v>39.9</v>
      </c>
      <c r="F13">
        <v>52</v>
      </c>
      <c r="G13" s="7">
        <v>17</v>
      </c>
      <c r="I13" s="5" t="e">
        <f ca="1"/>
        <v>#NAME?</v>
      </c>
      <c r="J13" s="19" t="e">
        <f ca="1"/>
        <v>#NAME?</v>
      </c>
      <c r="K13" s="8" t="e">
        <f ca="1"/>
        <v>#NAME?</v>
      </c>
      <c r="M13" s="5" t="e">
        <f ca="1"/>
        <v>#NAME?</v>
      </c>
      <c r="N13" s="19" t="e">
        <f ca="1"/>
        <v>#NAME?</v>
      </c>
      <c r="O13" s="8" t="e">
        <f ca="1"/>
        <v>#NAME?</v>
      </c>
      <c r="Q13" s="5" t="e">
        <f ca="1"/>
        <v>#NAME?</v>
      </c>
      <c r="R13" s="19" t="e">
        <f ca="1"/>
        <v>#NAME?</v>
      </c>
      <c r="S13" s="8" t="e">
        <f ca="1"/>
        <v>#NAME?</v>
      </c>
    </row>
    <row r="14" spans="1:22" x14ac:dyDescent="0.35">
      <c r="A14" s="18">
        <v>40.4</v>
      </c>
      <c r="B14">
        <v>64</v>
      </c>
      <c r="C14" s="7">
        <v>21</v>
      </c>
      <c r="E14" s="4">
        <v>41.3</v>
      </c>
      <c r="F14">
        <v>62</v>
      </c>
      <c r="G14" s="7">
        <v>18</v>
      </c>
    </row>
    <row r="15" spans="1:22" x14ac:dyDescent="0.35">
      <c r="A15" s="18">
        <v>39.4</v>
      </c>
      <c r="B15">
        <v>53</v>
      </c>
      <c r="C15" s="7">
        <v>22</v>
      </c>
      <c r="E15" s="4">
        <v>38.1</v>
      </c>
      <c r="F15">
        <v>57</v>
      </c>
      <c r="G15" s="7">
        <v>20</v>
      </c>
      <c r="I15" t="s">
        <v>15</v>
      </c>
      <c r="J15" s="9">
        <f>J7+K7-1</f>
        <v>37</v>
      </c>
      <c r="M15" t="s">
        <v>16</v>
      </c>
    </row>
    <row r="16" spans="1:22" x14ac:dyDescent="0.35">
      <c r="A16" s="18">
        <v>38</v>
      </c>
      <c r="B16">
        <v>70</v>
      </c>
      <c r="C16" s="7">
        <v>15</v>
      </c>
      <c r="E16" s="4">
        <v>39.6</v>
      </c>
      <c r="F16">
        <v>78</v>
      </c>
      <c r="G16" s="7">
        <v>19</v>
      </c>
      <c r="I16" t="s">
        <v>17</v>
      </c>
      <c r="J16" s="11">
        <f>COUNT(A6:C6)</f>
        <v>3</v>
      </c>
    </row>
    <row r="17" spans="1:16" ht="16.5" x14ac:dyDescent="0.35">
      <c r="A17" s="18">
        <v>38.6</v>
      </c>
      <c r="B17">
        <v>75</v>
      </c>
      <c r="C17" s="7">
        <v>14</v>
      </c>
      <c r="E17" s="4">
        <v>37.1</v>
      </c>
      <c r="F17">
        <v>92</v>
      </c>
      <c r="G17" s="7">
        <v>15</v>
      </c>
      <c r="I17" t="s">
        <v>18</v>
      </c>
      <c r="J17" s="11" t="e">
        <f t="array" aca="1" ref="J17" ca="1">MMULT(TRANSPOSE(L4:L6),MMULT(MINVERSE((1/J7+1/K7)*Q11:S13),L4:L6))</f>
        <v>#NAME?</v>
      </c>
      <c r="N17" s="2" t="str">
        <f>E5</f>
        <v>Fever</v>
      </c>
      <c r="O17" s="2" t="str">
        <f>F5</f>
        <v>Pressure</v>
      </c>
      <c r="P17" s="2" t="str">
        <f>G5</f>
        <v>Aches</v>
      </c>
    </row>
    <row r="18" spans="1:16" x14ac:dyDescent="0.35">
      <c r="A18" s="18">
        <v>40.1</v>
      </c>
      <c r="B18">
        <v>48</v>
      </c>
      <c r="C18" s="7">
        <v>28</v>
      </c>
      <c r="E18" s="4">
        <v>39.5</v>
      </c>
      <c r="F18">
        <v>63</v>
      </c>
      <c r="G18" s="7">
        <v>13</v>
      </c>
      <c r="I18" t="s">
        <v>19</v>
      </c>
      <c r="J18" s="11" t="e">
        <f ca="1">J17*(J15-J16)/(J16*(J15-1))</f>
        <v>#NAME?</v>
      </c>
      <c r="M18" t="s">
        <v>20</v>
      </c>
      <c r="N18" s="3">
        <f t="array" ref="N18:P18">TRANSPOSE(L4:L6)</f>
        <v>-0.75444444444444514</v>
      </c>
      <c r="O18" s="13">
        <v>6.1722222222222243</v>
      </c>
      <c r="P18" s="6">
        <v>-1.81111111111111</v>
      </c>
    </row>
    <row r="19" spans="1:16" x14ac:dyDescent="0.35">
      <c r="A19" s="18">
        <v>38.1</v>
      </c>
      <c r="B19">
        <v>57</v>
      </c>
      <c r="C19" s="7">
        <v>22</v>
      </c>
      <c r="E19" s="4">
        <v>40.299999999999997</v>
      </c>
      <c r="F19">
        <v>52</v>
      </c>
      <c r="G19" s="7">
        <v>25</v>
      </c>
      <c r="I19" t="s">
        <v>21</v>
      </c>
      <c r="J19" s="11">
        <f>J16</f>
        <v>3</v>
      </c>
      <c r="M19" t="s">
        <v>22</v>
      </c>
      <c r="N19" s="4">
        <f>J7</f>
        <v>20</v>
      </c>
      <c r="O19">
        <f t="shared" ref="O19:P25" si="0">N19</f>
        <v>20</v>
      </c>
      <c r="P19" s="7">
        <f t="shared" si="0"/>
        <v>20</v>
      </c>
    </row>
    <row r="20" spans="1:16" x14ac:dyDescent="0.35">
      <c r="A20" s="18">
        <v>37.200000000000003</v>
      </c>
      <c r="B20">
        <v>78</v>
      </c>
      <c r="C20" s="7">
        <v>16</v>
      </c>
      <c r="E20" s="4">
        <v>41.5</v>
      </c>
      <c r="F20">
        <v>46</v>
      </c>
      <c r="G20" s="7">
        <v>27</v>
      </c>
      <c r="I20" t="s">
        <v>23</v>
      </c>
      <c r="J20" s="11">
        <f>J15-J16</f>
        <v>34</v>
      </c>
      <c r="M20" t="s">
        <v>24</v>
      </c>
      <c r="N20" s="4">
        <f>K7</f>
        <v>18</v>
      </c>
      <c r="O20">
        <f t="shared" si="0"/>
        <v>18</v>
      </c>
      <c r="P20" s="7">
        <f t="shared" si="0"/>
        <v>18</v>
      </c>
    </row>
    <row r="21" spans="1:16" x14ac:dyDescent="0.35">
      <c r="A21" s="18">
        <v>39.5</v>
      </c>
      <c r="B21">
        <v>65</v>
      </c>
      <c r="C21" s="7">
        <v>18</v>
      </c>
      <c r="E21" s="4">
        <v>39.299999999999997</v>
      </c>
      <c r="F21">
        <v>56</v>
      </c>
      <c r="G21" s="7">
        <v>14</v>
      </c>
      <c r="I21" t="s">
        <v>25</v>
      </c>
      <c r="J21" s="11">
        <v>0.05</v>
      </c>
      <c r="M21" t="s">
        <v>17</v>
      </c>
      <c r="N21" s="4">
        <f>J16</f>
        <v>3</v>
      </c>
      <c r="O21">
        <f t="shared" si="0"/>
        <v>3</v>
      </c>
      <c r="P21" s="7">
        <f t="shared" si="0"/>
        <v>3</v>
      </c>
    </row>
    <row r="22" spans="1:16" x14ac:dyDescent="0.35">
      <c r="A22" s="18">
        <v>37.299999999999997</v>
      </c>
      <c r="B22">
        <v>77</v>
      </c>
      <c r="C22" s="7">
        <v>13</v>
      </c>
      <c r="E22" s="4">
        <v>37.6</v>
      </c>
      <c r="F22">
        <v>86</v>
      </c>
      <c r="G22" s="7">
        <v>16</v>
      </c>
      <c r="I22" t="s">
        <v>26</v>
      </c>
      <c r="J22" s="11">
        <f>FINV(J21,J19,J20)</f>
        <v>2.8826042042612277</v>
      </c>
      <c r="M22" t="s">
        <v>21</v>
      </c>
      <c r="N22" s="4">
        <f>N21</f>
        <v>3</v>
      </c>
      <c r="O22">
        <f t="shared" si="0"/>
        <v>3</v>
      </c>
      <c r="P22" s="7">
        <f t="shared" si="0"/>
        <v>3</v>
      </c>
    </row>
    <row r="23" spans="1:16" x14ac:dyDescent="0.35">
      <c r="A23" s="18">
        <v>39.1</v>
      </c>
      <c r="B23">
        <v>67</v>
      </c>
      <c r="C23" s="7">
        <v>16</v>
      </c>
      <c r="E23" s="4">
        <v>40.6</v>
      </c>
      <c r="F23">
        <v>48</v>
      </c>
      <c r="G23" s="7">
        <v>21</v>
      </c>
      <c r="I23" t="s">
        <v>27</v>
      </c>
      <c r="J23" s="11" t="e">
        <f ca="1">FDIST(J18,J19,J20)</f>
        <v>#NAME?</v>
      </c>
      <c r="M23" t="s">
        <v>23</v>
      </c>
      <c r="N23" s="4">
        <f>J20</f>
        <v>34</v>
      </c>
      <c r="O23">
        <f t="shared" si="0"/>
        <v>34</v>
      </c>
      <c r="P23" s="7">
        <f t="shared" si="0"/>
        <v>34</v>
      </c>
    </row>
    <row r="24" spans="1:16" x14ac:dyDescent="0.35">
      <c r="A24" s="18">
        <v>39.9</v>
      </c>
      <c r="B24">
        <v>52</v>
      </c>
      <c r="C24" s="7">
        <v>10</v>
      </c>
      <c r="E24" s="4"/>
      <c r="G24" s="7"/>
      <c r="I24" t="s">
        <v>28</v>
      </c>
      <c r="J24" s="20" t="e">
        <f ca="1">IF(J23&lt;= J21,"yes","no")</f>
        <v>#NAME?</v>
      </c>
      <c r="M24" t="s">
        <v>25</v>
      </c>
      <c r="N24" s="4">
        <v>0.05</v>
      </c>
      <c r="O24">
        <f t="shared" si="0"/>
        <v>0.05</v>
      </c>
      <c r="P24" s="7">
        <f t="shared" si="0"/>
        <v>0.05</v>
      </c>
    </row>
    <row r="25" spans="1:16" x14ac:dyDescent="0.35">
      <c r="A25" s="21">
        <v>37.799999999999997</v>
      </c>
      <c r="B25" s="19">
        <v>68</v>
      </c>
      <c r="C25" s="8">
        <v>13</v>
      </c>
      <c r="E25" s="5"/>
      <c r="F25" s="19"/>
      <c r="G25" s="8"/>
      <c r="M25" t="s">
        <v>26</v>
      </c>
      <c r="N25" s="4">
        <f>J22</f>
        <v>2.8826042042612277</v>
      </c>
      <c r="O25">
        <f t="shared" si="0"/>
        <v>2.8826042042612277</v>
      </c>
      <c r="P25" s="7">
        <f t="shared" si="0"/>
        <v>2.8826042042612277</v>
      </c>
    </row>
    <row r="26" spans="1:16" x14ac:dyDescent="0.35">
      <c r="I26" t="s">
        <v>29</v>
      </c>
      <c r="M26" t="s">
        <v>30</v>
      </c>
      <c r="N26" s="4">
        <f>SQRT(N25*N21*(N19+N20-2)/N23)</f>
        <v>3.0259721532689614</v>
      </c>
      <c r="O26">
        <f>SQRT(O25*O21*(O19+O20-2)/O23)</f>
        <v>3.0259721532689614</v>
      </c>
      <c r="P26" s="7">
        <f>SQRT(P25*P21*(P19+P20-2)/P23)</f>
        <v>3.0259721532689614</v>
      </c>
    </row>
    <row r="27" spans="1:16" x14ac:dyDescent="0.35">
      <c r="A27" s="3">
        <f>AVERAGE(A6:A25)</f>
        <v>38.69</v>
      </c>
      <c r="B27" s="13">
        <f>AVERAGE(B6:B25)</f>
        <v>68.45</v>
      </c>
      <c r="C27" s="6">
        <f>AVERAGE(C6:C25)</f>
        <v>18.3</v>
      </c>
      <c r="D27" s="22" t="s">
        <v>31</v>
      </c>
      <c r="E27" s="3">
        <f>AVERAGE(E6:E25)</f>
        <v>39.444444444444443</v>
      </c>
      <c r="F27" s="13">
        <f>AVERAGE(F6:F25)</f>
        <v>62.277777777777779</v>
      </c>
      <c r="G27" s="6">
        <f>AVERAGE(G6:G25)</f>
        <v>20.111111111111111</v>
      </c>
      <c r="M27" t="s">
        <v>32</v>
      </c>
      <c r="N27" s="4">
        <f>A28</f>
        <v>1.2567368421052638</v>
      </c>
      <c r="O27">
        <f>B28</f>
        <v>169.31315789473669</v>
      </c>
      <c r="P27" s="7">
        <f>C28</f>
        <v>31.79999999999999</v>
      </c>
    </row>
    <row r="28" spans="1:16" ht="16.5" x14ac:dyDescent="0.35">
      <c r="A28" s="5">
        <f>VAR(A6:A25)</f>
        <v>1.2567368421052638</v>
      </c>
      <c r="B28" s="19">
        <f>VAR(B6:B25)</f>
        <v>169.31315789473669</v>
      </c>
      <c r="C28" s="8">
        <f>VAR(C6:C25)</f>
        <v>31.79999999999999</v>
      </c>
      <c r="D28" s="22" t="s">
        <v>33</v>
      </c>
      <c r="E28" s="5">
        <f>VAR(E6:E25)</f>
        <v>1.4967320261437886</v>
      </c>
      <c r="F28" s="19">
        <f>VAR(F6:F25)</f>
        <v>175.15359477124173</v>
      </c>
      <c r="G28" s="8">
        <f>VAR(G6:G25)</f>
        <v>24.457516339869258</v>
      </c>
      <c r="I28" t="s">
        <v>18</v>
      </c>
      <c r="J28" s="9" t="e">
        <f ca="1">HotellingT2(A6:C25,E6:G23,2)</f>
        <v>#NAME?</v>
      </c>
      <c r="M28" t="s">
        <v>34</v>
      </c>
      <c r="N28" s="4">
        <f>E28</f>
        <v>1.4967320261437886</v>
      </c>
      <c r="O28">
        <f>F28</f>
        <v>175.15359477124173</v>
      </c>
      <c r="P28" s="7">
        <f>G28</f>
        <v>24.457516339869258</v>
      </c>
    </row>
    <row r="29" spans="1:16" x14ac:dyDescent="0.35">
      <c r="I29" t="s">
        <v>19</v>
      </c>
      <c r="J29" s="11" t="e">
        <f ca="1">HotellingF(A6:C25,E6:G23,2)</f>
        <v>#NAME?</v>
      </c>
      <c r="M29" t="s">
        <v>35</v>
      </c>
      <c r="N29" s="4">
        <f>SQRT(((N19-1)*N27+(N20-1)*N28)/(N19+N20-2))</f>
        <v>1.1704989966824266</v>
      </c>
      <c r="O29">
        <f>SQRT(((O19-1)*O27+(O20-1)*O28)/(O19+O20-2))</f>
        <v>13.117589030584412</v>
      </c>
      <c r="P29" s="7">
        <f>SQRT(((P19-1)*P27+(P20-1)*P28)/(P19+P20-2))</f>
        <v>5.3228484901772939</v>
      </c>
    </row>
    <row r="30" spans="1:16" x14ac:dyDescent="0.35">
      <c r="I30" t="s">
        <v>21</v>
      </c>
      <c r="J30" s="11" t="e">
        <f ca="1">Hotellingdf1(A6:C25,E6:G23,2)</f>
        <v>#NAME?</v>
      </c>
      <c r="M30" t="s">
        <v>36</v>
      </c>
      <c r="N30" s="5">
        <f>N29*SQRT(1/N19+1/N20)</f>
        <v>0.38028710004896138</v>
      </c>
      <c r="O30" s="19">
        <f>O29*SQRT(1/O19+1/O20)</f>
        <v>4.2618147526942751</v>
      </c>
      <c r="P30" s="8">
        <f>P29*SQRT(1/P19+1/P20)</f>
        <v>1.7293569854111659</v>
      </c>
    </row>
    <row r="31" spans="1:16" x14ac:dyDescent="0.35">
      <c r="I31" t="s">
        <v>23</v>
      </c>
      <c r="J31" s="11" t="e">
        <f ca="1">Hotellingdf2(A6:C25,E6:G23,2)</f>
        <v>#NAME?</v>
      </c>
      <c r="M31" t="s">
        <v>37</v>
      </c>
      <c r="N31" s="3">
        <f>N18-N26*N30</f>
        <v>-1.9051826194400097</v>
      </c>
      <c r="O31" s="13">
        <f>O18-O26*O30</f>
        <v>-6.7239105418214979</v>
      </c>
      <c r="P31" s="6">
        <f>P18-P26*P30</f>
        <v>-7.0440971920264559</v>
      </c>
    </row>
    <row r="32" spans="1:16" x14ac:dyDescent="0.35">
      <c r="I32" t="s">
        <v>38</v>
      </c>
      <c r="J32" s="14" t="e">
        <f ca="1">T2TEST(A6:C25,E6:G23,2)</f>
        <v>#NAME?</v>
      </c>
      <c r="M32" t="s">
        <v>39</v>
      </c>
      <c r="N32" s="5">
        <f>N18+N26*N30</f>
        <v>0.39629373055111938</v>
      </c>
      <c r="O32" s="19">
        <f>O18+O26*O30</f>
        <v>19.068354986265945</v>
      </c>
      <c r="P32" s="8">
        <f>P18+P26*P30</f>
        <v>3.4218749698042359</v>
      </c>
    </row>
    <row r="33" spans="13:16" x14ac:dyDescent="0.35">
      <c r="M33" t="s">
        <v>40</v>
      </c>
      <c r="N33" s="23" t="str">
        <f>IF(N32&lt;0,"low",IF(0&lt;N31,"high","ok"))</f>
        <v>ok</v>
      </c>
      <c r="O33" s="24" t="str">
        <f>IF(O32&lt;0,"low",IF(0&lt;O31,"high","ok"))</f>
        <v>ok</v>
      </c>
      <c r="P33" s="25" t="str">
        <f>IF(P32&lt;0,"low",IF(0&lt;P31,"high","ok"))</f>
        <v>ok</v>
      </c>
    </row>
    <row r="35" spans="13:16" x14ac:dyDescent="0.35">
      <c r="M35" t="s">
        <v>41</v>
      </c>
    </row>
    <row r="37" spans="13:16" x14ac:dyDescent="0.35">
      <c r="N37" s="2" t="str">
        <f>E5</f>
        <v>Fever</v>
      </c>
      <c r="O37" s="2" t="str">
        <f>F5</f>
        <v>Pressure</v>
      </c>
      <c r="P37" s="2" t="str">
        <f>G5</f>
        <v>Aches</v>
      </c>
    </row>
    <row r="38" spans="13:16" x14ac:dyDescent="0.35">
      <c r="M38" t="s">
        <v>31</v>
      </c>
      <c r="N38" s="26">
        <f t="shared" ref="N38:P41" si="1">N18</f>
        <v>-0.75444444444444514</v>
      </c>
      <c r="O38" s="27">
        <f t="shared" si="1"/>
        <v>6.1722222222222243</v>
      </c>
      <c r="P38" s="28">
        <f t="shared" si="1"/>
        <v>-1.81111111111111</v>
      </c>
    </row>
    <row r="39" spans="13:16" x14ac:dyDescent="0.35">
      <c r="M39" t="s">
        <v>22</v>
      </c>
      <c r="N39" s="29">
        <f t="shared" si="1"/>
        <v>20</v>
      </c>
      <c r="O39" s="2">
        <f t="shared" si="1"/>
        <v>20</v>
      </c>
      <c r="P39" s="30">
        <f t="shared" si="1"/>
        <v>20</v>
      </c>
    </row>
    <row r="40" spans="13:16" x14ac:dyDescent="0.35">
      <c r="M40" t="s">
        <v>24</v>
      </c>
      <c r="N40" s="29">
        <f t="shared" si="1"/>
        <v>18</v>
      </c>
      <c r="O40" s="2">
        <f t="shared" si="1"/>
        <v>18</v>
      </c>
      <c r="P40" s="30">
        <f t="shared" si="1"/>
        <v>18</v>
      </c>
    </row>
    <row r="41" spans="13:16" x14ac:dyDescent="0.35">
      <c r="M41" t="s">
        <v>17</v>
      </c>
      <c r="N41" s="29">
        <f t="shared" si="1"/>
        <v>3</v>
      </c>
      <c r="O41" s="2">
        <f t="shared" si="1"/>
        <v>3</v>
      </c>
      <c r="P41" s="30">
        <f t="shared" si="1"/>
        <v>3</v>
      </c>
    </row>
    <row r="42" spans="13:16" x14ac:dyDescent="0.35">
      <c r="M42" t="s">
        <v>42</v>
      </c>
      <c r="N42" s="29">
        <f>N39+N40-2</f>
        <v>36</v>
      </c>
      <c r="O42" s="2">
        <f>O39+O40-2</f>
        <v>36</v>
      </c>
      <c r="P42" s="30">
        <f>P39+P40-2</f>
        <v>36</v>
      </c>
    </row>
    <row r="43" spans="13:16" x14ac:dyDescent="0.35">
      <c r="M43" t="s">
        <v>25</v>
      </c>
      <c r="N43" s="29">
        <v>0.05</v>
      </c>
      <c r="O43">
        <f>N43</f>
        <v>0.05</v>
      </c>
      <c r="P43" s="7">
        <f>O43</f>
        <v>0.05</v>
      </c>
    </row>
    <row r="44" spans="13:16" x14ac:dyDescent="0.35">
      <c r="M44" t="s">
        <v>30</v>
      </c>
      <c r="N44" s="4">
        <f>TINV(N43/N41,N42)</f>
        <v>2.511040355246327</v>
      </c>
      <c r="O44">
        <f>TINV(O43/O41,O42)</f>
        <v>2.511040355246327</v>
      </c>
      <c r="P44" s="7">
        <f>TINV(P43/P41,P42)</f>
        <v>2.511040355246327</v>
      </c>
    </row>
    <row r="45" spans="13:16" x14ac:dyDescent="0.35">
      <c r="M45" t="s">
        <v>36</v>
      </c>
      <c r="N45" s="5">
        <f>N30</f>
        <v>0.38028710004896138</v>
      </c>
      <c r="O45" s="19">
        <f>O30</f>
        <v>4.2618147526942751</v>
      </c>
      <c r="P45" s="8">
        <f>P30</f>
        <v>1.7293569854111659</v>
      </c>
    </row>
    <row r="46" spans="13:16" x14ac:dyDescent="0.35">
      <c r="M46" t="s">
        <v>37</v>
      </c>
      <c r="N46" s="3">
        <f>N38-N45*N41</f>
        <v>-1.8953057445913293</v>
      </c>
      <c r="O46" s="13">
        <f>O38-O45*O41</f>
        <v>-6.613222035860602</v>
      </c>
      <c r="P46" s="6">
        <f>P38-P45*P41</f>
        <v>-6.9991820673446075</v>
      </c>
    </row>
    <row r="47" spans="13:16" x14ac:dyDescent="0.35">
      <c r="M47" t="s">
        <v>39</v>
      </c>
      <c r="N47" s="5">
        <f>N38+N45*N41</f>
        <v>0.386416855702439</v>
      </c>
      <c r="O47" s="19">
        <f>O38+O45*O41</f>
        <v>18.957666480305051</v>
      </c>
      <c r="P47" s="8">
        <f>P38+P45*P41</f>
        <v>3.3769598451223874</v>
      </c>
    </row>
    <row r="48" spans="13:16" x14ac:dyDescent="0.35">
      <c r="M48" t="s">
        <v>40</v>
      </c>
      <c r="N48" s="23" t="str">
        <f>IF(N47&lt;0,"low",IF(0&lt;N46,"high","ok"))</f>
        <v>ok</v>
      </c>
      <c r="O48" s="24" t="str">
        <f>IF(O47&lt;0,"low",IF(0&lt;O46,"high","ok"))</f>
        <v>ok</v>
      </c>
      <c r="P48" s="25" t="str">
        <f>IF(P47&lt;0,"low",IF(0&lt;P46,"high","ok"))</f>
        <v>ok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Hotel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2025-10-28T19:44:51Z</dcterms:created>
  <dcterms:modified xsi:type="dcterms:W3CDTF">2025-10-28T19:48:28Z</dcterms:modified>
</cp:coreProperties>
</file>