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15A366EA-B6F5-4951-9AE7-63C685AB850F}" xr6:coauthVersionLast="47" xr6:coauthVersionMax="47" xr10:uidLastSave="{00000000-0000-0000-0000-000000000000}"/>
  <bookViews>
    <workbookView xWindow="-110" yWindow="-110" windowWidth="19420" windowHeight="10300" xr2:uid="{25EDC6B8-17F8-4FB0-886D-72A14014DC42}"/>
  </bookViews>
  <sheets>
    <sheet name="Title" sheetId="2" r:id="rId1"/>
    <sheet name="CA 1" sheetId="1" r:id="rId2"/>
  </sheets>
  <externalReferences>
    <externalReference r:id="rId3"/>
    <externalReference r:id="rId4"/>
  </externalReferences>
  <definedNames>
    <definedName name="r_0">[2]Sheet17!$A$3:$A$264</definedName>
    <definedName name="r_1">[2]Sheet17!$B$3:$B$264</definedName>
    <definedName name="r_2">[2]Sheet17!$C$3:$C$264</definedName>
    <definedName name="r_3">[2]Sheet17!$D$3:$D$264</definedName>
    <definedName name="r_4">[2]Sheet17!$E$3:$E$264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S61" i="1" l="1"/>
  <c r="AQ61" i="1" a="1"/>
  <c r="AR61" i="1" s="1"/>
  <c r="AT51" i="1"/>
  <c r="AR51" i="1"/>
  <c r="AT50" i="1"/>
  <c r="AS50" i="1"/>
  <c r="AR50" i="1"/>
  <c r="AT49" i="1"/>
  <c r="AR49" i="1" a="1"/>
  <c r="AR49" i="1" s="1"/>
  <c r="AR46" i="1" a="1"/>
  <c r="AU46" i="1" s="1"/>
  <c r="AK42" i="1" a="1"/>
  <c r="AD42" i="1" a="1"/>
  <c r="AD44" i="1" s="1"/>
  <c r="V41" i="1" a="1"/>
  <c r="V44" i="1" s="1"/>
  <c r="AD36" i="1" a="1"/>
  <c r="AD36" i="1" s="1"/>
  <c r="X37" i="1"/>
  <c r="Y36" i="1"/>
  <c r="X34" i="1"/>
  <c r="W34" i="1"/>
  <c r="V34" i="1"/>
  <c r="W33" i="1"/>
  <c r="V32" i="1" a="1"/>
  <c r="V35" i="1" s="1"/>
  <c r="I25" i="1"/>
  <c r="X28" i="1"/>
  <c r="Z25" i="1"/>
  <c r="V23" i="1" a="1"/>
  <c r="X27" i="1" s="1"/>
  <c r="I21" i="1"/>
  <c r="J21" i="1" s="1"/>
  <c r="I20" i="1"/>
  <c r="L20" i="1" s="1"/>
  <c r="P13" i="1" a="1"/>
  <c r="S16" i="1" s="1"/>
  <c r="AJ7" i="1"/>
  <c r="AH4" i="1" a="1"/>
  <c r="AI5" i="1" s="1"/>
  <c r="AD4" i="1" a="1"/>
  <c r="V4" i="1" a="1"/>
  <c r="Z7" i="1" s="1"/>
  <c r="AK64" i="1"/>
  <c r="AZ42" i="1"/>
  <c r="AZ41" i="1"/>
  <c r="AZ40" i="1"/>
  <c r="AZ39" i="1"/>
  <c r="AZ38" i="1"/>
  <c r="AC38" i="1"/>
  <c r="AZ37" i="1"/>
  <c r="AC37" i="1"/>
  <c r="AZ36" i="1"/>
  <c r="AZ35" i="1"/>
  <c r="AZ34" i="1"/>
  <c r="AZ33" i="1"/>
  <c r="K21" i="1"/>
  <c r="E21" i="1"/>
  <c r="D21" i="1"/>
  <c r="C21" i="1"/>
  <c r="B21" i="1"/>
  <c r="K20" i="1"/>
  <c r="F20" i="1"/>
  <c r="A20" i="1"/>
  <c r="AJ19" i="1"/>
  <c r="F19" i="1"/>
  <c r="A19" i="1"/>
  <c r="F18" i="1"/>
  <c r="A18" i="1"/>
  <c r="V17" i="1"/>
  <c r="F17" i="1"/>
  <c r="A17" i="1"/>
  <c r="AJ16" i="1"/>
  <c r="V16" i="1"/>
  <c r="J16" i="1"/>
  <c r="I16" i="1"/>
  <c r="K16" i="1" s="1"/>
  <c r="F16" i="1"/>
  <c r="A16" i="1"/>
  <c r="AJ15" i="1"/>
  <c r="V15" i="1"/>
  <c r="F15" i="1"/>
  <c r="A15" i="1"/>
  <c r="AJ14" i="1"/>
  <c r="V14" i="1"/>
  <c r="E14" i="1"/>
  <c r="D14" i="1"/>
  <c r="C14" i="1"/>
  <c r="B14" i="1"/>
  <c r="A14" i="1"/>
  <c r="V13" i="1"/>
  <c r="Z12" i="1"/>
  <c r="E10" i="1"/>
  <c r="D10" i="1"/>
  <c r="C10" i="1"/>
  <c r="B10" i="1"/>
  <c r="O9" i="1"/>
  <c r="V18" i="1" s="1"/>
  <c r="F9" i="1"/>
  <c r="O8" i="1"/>
  <c r="AJ18" i="1" s="1"/>
  <c r="F8" i="1"/>
  <c r="O7" i="1"/>
  <c r="AJ17" i="1" s="1"/>
  <c r="F7" i="1"/>
  <c r="O6" i="1"/>
  <c r="F6" i="1"/>
  <c r="O5" i="1"/>
  <c r="F5" i="1"/>
  <c r="O4" i="1"/>
  <c r="F4" i="1"/>
  <c r="S3" i="1"/>
  <c r="R3" i="1"/>
  <c r="Y12" i="1" s="1"/>
  <c r="Q3" i="1"/>
  <c r="X12" i="1" s="1"/>
  <c r="P3" i="1"/>
  <c r="X7" i="1" l="1"/>
  <c r="Y23" i="1"/>
  <c r="W26" i="1"/>
  <c r="AA23" i="1"/>
  <c r="AS51" i="1"/>
  <c r="V26" i="1"/>
  <c r="Z28" i="1"/>
  <c r="W35" i="1"/>
  <c r="AD37" i="1"/>
  <c r="Y7" i="1"/>
  <c r="Z23" i="1"/>
  <c r="X26" i="1"/>
  <c r="AD38" i="1"/>
  <c r="W32" i="1"/>
  <c r="W24" i="1"/>
  <c r="Y27" i="1"/>
  <c r="Y32" i="1"/>
  <c r="W36" i="1"/>
  <c r="AR52" i="1"/>
  <c r="V6" i="1"/>
  <c r="AA25" i="1"/>
  <c r="Y28" i="1"/>
  <c r="W7" i="1"/>
  <c r="X35" i="1"/>
  <c r="Y26" i="1"/>
  <c r="Y35" i="1"/>
  <c r="V24" i="1"/>
  <c r="Z26" i="1"/>
  <c r="X32" i="1"/>
  <c r="V36" i="1"/>
  <c r="X24" i="1"/>
  <c r="Z27" i="1"/>
  <c r="V33" i="1"/>
  <c r="X36" i="1"/>
  <c r="AS52" i="1"/>
  <c r="Y24" i="1"/>
  <c r="AA27" i="1"/>
  <c r="Z24" i="1"/>
  <c r="V28" i="1"/>
  <c r="X33" i="1"/>
  <c r="V37" i="1"/>
  <c r="AQ61" i="1"/>
  <c r="Y25" i="1"/>
  <c r="W28" i="1"/>
  <c r="Y33" i="1"/>
  <c r="W37" i="1"/>
  <c r="AS49" i="1"/>
  <c r="AF9" i="1"/>
  <c r="AF5" i="1"/>
  <c r="AE9" i="1"/>
  <c r="AE5" i="1"/>
  <c r="AD9" i="1"/>
  <c r="AD5" i="1"/>
  <c r="AF8" i="1"/>
  <c r="AF4" i="1"/>
  <c r="AE8" i="1"/>
  <c r="AE4" i="1"/>
  <c r="AD8" i="1"/>
  <c r="AD4" i="1"/>
  <c r="AD6" i="1"/>
  <c r="AE6" i="1"/>
  <c r="Q15" i="1"/>
  <c r="P15" i="1"/>
  <c r="S14" i="1"/>
  <c r="R14" i="1"/>
  <c r="Q14" i="1"/>
  <c r="P14" i="1"/>
  <c r="AM44" i="1"/>
  <c r="AL44" i="1"/>
  <c r="AK44" i="1"/>
  <c r="AO44" i="1" s="1"/>
  <c r="AN43" i="1"/>
  <c r="AM43" i="1"/>
  <c r="AL43" i="1"/>
  <c r="AK43" i="1"/>
  <c r="AO43" i="1" s="1"/>
  <c r="AF6" i="1"/>
  <c r="P13" i="1"/>
  <c r="AK42" i="1"/>
  <c r="AD7" i="1"/>
  <c r="Q13" i="1"/>
  <c r="AL42" i="1"/>
  <c r="V9" i="1"/>
  <c r="V7" i="1"/>
  <c r="V5" i="1"/>
  <c r="AA8" i="1"/>
  <c r="AA6" i="1"/>
  <c r="AA4" i="1"/>
  <c r="Z8" i="1"/>
  <c r="Z6" i="1"/>
  <c r="Z4" i="1"/>
  <c r="Y8" i="1"/>
  <c r="Y6" i="1"/>
  <c r="Y4" i="1"/>
  <c r="X8" i="1"/>
  <c r="X6" i="1"/>
  <c r="X4" i="1"/>
  <c r="W8" i="1"/>
  <c r="W6" i="1"/>
  <c r="W4" i="1"/>
  <c r="AA7" i="1"/>
  <c r="AE7" i="1"/>
  <c r="R13" i="1"/>
  <c r="AM42" i="1"/>
  <c r="V4" i="1"/>
  <c r="V8" i="1"/>
  <c r="AF7" i="1"/>
  <c r="S13" i="1"/>
  <c r="Y42" i="1"/>
  <c r="X42" i="1"/>
  <c r="W42" i="1"/>
  <c r="V42" i="1"/>
  <c r="Y44" i="1"/>
  <c r="Y41" i="1"/>
  <c r="X44" i="1"/>
  <c r="X41" i="1"/>
  <c r="W44" i="1"/>
  <c r="W41" i="1"/>
  <c r="AN42" i="1"/>
  <c r="W5" i="1"/>
  <c r="W9" i="1"/>
  <c r="AI7" i="1"/>
  <c r="AH7" i="1"/>
  <c r="AJ6" i="1"/>
  <c r="AI6" i="1"/>
  <c r="AH6" i="1"/>
  <c r="AJ5" i="1"/>
  <c r="R15" i="1"/>
  <c r="V41" i="1"/>
  <c r="AN44" i="1"/>
  <c r="X5" i="1"/>
  <c r="X9" i="1"/>
  <c r="AH4" i="1"/>
  <c r="S15" i="1"/>
  <c r="V43" i="1"/>
  <c r="AK45" i="1"/>
  <c r="Y5" i="1"/>
  <c r="Y9" i="1"/>
  <c r="AI4" i="1"/>
  <c r="P16" i="1"/>
  <c r="W43" i="1"/>
  <c r="AL45" i="1"/>
  <c r="Z5" i="1"/>
  <c r="Z9" i="1"/>
  <c r="AJ4" i="1"/>
  <c r="Q16" i="1"/>
  <c r="X43" i="1"/>
  <c r="AM45" i="1"/>
  <c r="AA5" i="1"/>
  <c r="AA9" i="1"/>
  <c r="AH5" i="1"/>
  <c r="R16" i="1"/>
  <c r="Y43" i="1"/>
  <c r="AN45" i="1"/>
  <c r="AR46" i="1"/>
  <c r="AS46" i="1"/>
  <c r="AA24" i="1"/>
  <c r="AA26" i="1"/>
  <c r="AA28" i="1"/>
  <c r="AT46" i="1"/>
  <c r="V23" i="1"/>
  <c r="V25" i="1"/>
  <c r="V27" i="1"/>
  <c r="AD42" i="1"/>
  <c r="W23" i="1"/>
  <c r="W25" i="1"/>
  <c r="W27" i="1"/>
  <c r="Y34" i="1"/>
  <c r="Y37" i="1"/>
  <c r="AD43" i="1"/>
  <c r="AT52" i="1"/>
  <c r="X23" i="1"/>
  <c r="X25" i="1"/>
  <c r="V32" i="1"/>
  <c r="AD39" i="1"/>
  <c r="AE36" i="1" s="1"/>
  <c r="AF36" i="1" s="1"/>
  <c r="J20" i="1"/>
  <c r="L21" i="1"/>
  <c r="AC26" i="1" a="1"/>
  <c r="W12" i="1"/>
  <c r="AJ25" i="1" a="1"/>
  <c r="F10" i="1"/>
  <c r="AL58" i="1"/>
  <c r="AL60" i="1"/>
  <c r="AL59" i="1"/>
  <c r="AL63" i="1"/>
  <c r="AL62" i="1"/>
  <c r="AL61" i="1"/>
  <c r="F21" i="1"/>
  <c r="AE38" i="1" l="1"/>
  <c r="AE37" i="1"/>
  <c r="AF37" i="1" s="1"/>
  <c r="AO45" i="1"/>
  <c r="Q6" i="1"/>
  <c r="P4" i="1"/>
  <c r="S9" i="1"/>
  <c r="P6" i="1"/>
  <c r="R9" i="1"/>
  <c r="P7" i="1"/>
  <c r="P5" i="1"/>
  <c r="S8" i="1"/>
  <c r="R8" i="1"/>
  <c r="P8" i="1"/>
  <c r="S4" i="1"/>
  <c r="S5" i="1"/>
  <c r="R4" i="1"/>
  <c r="Q7" i="1"/>
  <c r="Q4" i="1"/>
  <c r="R6" i="1"/>
  <c r="R7" i="1"/>
  <c r="Q9" i="1"/>
  <c r="S6" i="1"/>
  <c r="P9" i="1"/>
  <c r="Q8" i="1"/>
  <c r="R5" i="1"/>
  <c r="S7" i="1"/>
  <c r="Q5" i="1"/>
  <c r="AJ28" i="1"/>
  <c r="AJ37" i="1" s="1"/>
  <c r="AJ27" i="1"/>
  <c r="AJ36" i="1" s="1"/>
  <c r="AJ25" i="1"/>
  <c r="AJ34" i="1" s="1"/>
  <c r="AJ26" i="1"/>
  <c r="AJ35" i="1" s="1"/>
  <c r="AG31" i="1"/>
  <c r="AG29" i="1"/>
  <c r="AG27" i="1"/>
  <c r="AF31" i="1"/>
  <c r="AF29" i="1"/>
  <c r="AF27" i="1"/>
  <c r="AD29" i="1"/>
  <c r="AD27" i="1"/>
  <c r="AE31" i="1"/>
  <c r="AE29" i="1"/>
  <c r="AE27" i="1"/>
  <c r="AD31" i="1"/>
  <c r="AC29" i="1"/>
  <c r="AE26" i="1"/>
  <c r="AH28" i="1"/>
  <c r="AD26" i="1"/>
  <c r="AG28" i="1"/>
  <c r="AC26" i="1"/>
  <c r="AH31" i="1"/>
  <c r="AF28" i="1"/>
  <c r="AH30" i="1"/>
  <c r="AH26" i="1"/>
  <c r="AF30" i="1"/>
  <c r="AF26" i="1"/>
  <c r="AE30" i="1"/>
  <c r="AD30" i="1"/>
  <c r="AH27" i="1"/>
  <c r="AC27" i="1"/>
  <c r="AC31" i="1"/>
  <c r="AC28" i="1"/>
  <c r="AG26" i="1"/>
  <c r="AC30" i="1"/>
  <c r="AE28" i="1"/>
  <c r="AH29" i="1"/>
  <c r="AG30" i="1"/>
  <c r="AD28" i="1"/>
  <c r="AO42" i="1"/>
  <c r="AL64" i="1"/>
  <c r="H16" i="1"/>
  <c r="I23" i="1"/>
  <c r="B15" i="1" a="1"/>
  <c r="AF38" i="1" l="1"/>
  <c r="T8" i="1"/>
  <c r="M21" i="1"/>
  <c r="M20" i="1"/>
  <c r="T6" i="1"/>
  <c r="B18" i="1"/>
  <c r="B15" i="1"/>
  <c r="E20" i="1"/>
  <c r="E17" i="1"/>
  <c r="C20" i="1"/>
  <c r="D20" i="1"/>
  <c r="D17" i="1"/>
  <c r="C17" i="1"/>
  <c r="E18" i="1"/>
  <c r="D18" i="1"/>
  <c r="C18" i="1"/>
  <c r="B17" i="1"/>
  <c r="C19" i="1"/>
  <c r="E16" i="1"/>
  <c r="D16" i="1"/>
  <c r="C16" i="1"/>
  <c r="B20" i="1"/>
  <c r="B16" i="1"/>
  <c r="C15" i="1"/>
  <c r="E19" i="1"/>
  <c r="D19" i="1"/>
  <c r="B19" i="1"/>
  <c r="D15" i="1"/>
  <c r="E15" i="1"/>
  <c r="T9" i="1"/>
  <c r="T5" i="1"/>
  <c r="T7" i="1"/>
  <c r="Q10" i="1"/>
  <c r="AL53" i="1" s="1"/>
  <c r="Q30" i="1"/>
  <c r="P10" i="1"/>
  <c r="T4" i="1"/>
  <c r="P21" i="1"/>
  <c r="R10" i="1"/>
  <c r="AM53" i="1" s="1"/>
  <c r="S10" i="1"/>
  <c r="AN53" i="1" s="1"/>
  <c r="AN50" i="1" l="1"/>
  <c r="AN49" i="1"/>
  <c r="AN52" i="1"/>
  <c r="AN51" i="1"/>
  <c r="AM50" i="1"/>
  <c r="AM51" i="1"/>
  <c r="AM52" i="1"/>
  <c r="AM49" i="1"/>
  <c r="AM59" i="1"/>
  <c r="AN59" i="1" s="1"/>
  <c r="AL15" i="1"/>
  <c r="R23" i="1"/>
  <c r="R31" i="1"/>
  <c r="S21" i="1"/>
  <c r="R21" i="1"/>
  <c r="AL50" i="1"/>
  <c r="AL51" i="1"/>
  <c r="AL52" i="1"/>
  <c r="AL49" i="1"/>
  <c r="P31" i="1"/>
  <c r="R22" i="1"/>
  <c r="S33" i="1"/>
  <c r="S24" i="1"/>
  <c r="R35" i="1"/>
  <c r="S31" i="1"/>
  <c r="Q34" i="1"/>
  <c r="P18" i="1"/>
  <c r="Q21" i="1"/>
  <c r="P22" i="1"/>
  <c r="S32" i="1"/>
  <c r="S34" i="1"/>
  <c r="AM58" i="1"/>
  <c r="AL14" i="1"/>
  <c r="R26" i="1"/>
  <c r="S23" i="1"/>
  <c r="S25" i="1"/>
  <c r="S22" i="1"/>
  <c r="AL25" i="1" a="1"/>
  <c r="T10" i="1"/>
  <c r="AK53" i="1"/>
  <c r="R33" i="1"/>
  <c r="P35" i="1"/>
  <c r="R34" i="1"/>
  <c r="Q31" i="1"/>
  <c r="P30" i="1"/>
  <c r="T30" i="1" s="1"/>
  <c r="AM14" i="1" s="1"/>
  <c r="R24" i="1"/>
  <c r="P26" i="1"/>
  <c r="R25" i="1"/>
  <c r="Q22" i="1"/>
  <c r="Q24" i="1"/>
  <c r="P24" i="1"/>
  <c r="AL19" i="1"/>
  <c r="AM63" i="1"/>
  <c r="AN63" i="1" s="1"/>
  <c r="Q23" i="1"/>
  <c r="Q33" i="1"/>
  <c r="P33" i="1"/>
  <c r="T33" i="1" s="1"/>
  <c r="AM17" i="1" s="1"/>
  <c r="P23" i="1"/>
  <c r="P27" i="1" s="1"/>
  <c r="Q25" i="1"/>
  <c r="Q32" i="1"/>
  <c r="S35" i="1"/>
  <c r="AL17" i="1"/>
  <c r="AM61" i="1"/>
  <c r="AN61" i="1" s="1"/>
  <c r="AM60" i="1"/>
  <c r="AN60" i="1" s="1"/>
  <c r="AL16" i="1"/>
  <c r="P34" i="1"/>
  <c r="S30" i="1"/>
  <c r="R18" i="1"/>
  <c r="S26" i="1"/>
  <c r="Q35" i="1"/>
  <c r="P32" i="1"/>
  <c r="AL18" i="1"/>
  <c r="AM62" i="1"/>
  <c r="AN62" i="1" s="1"/>
  <c r="S18" i="1"/>
  <c r="R30" i="1"/>
  <c r="Q18" i="1"/>
  <c r="Q26" i="1"/>
  <c r="R32" i="1"/>
  <c r="P25" i="1"/>
  <c r="R27" i="1" l="1"/>
  <c r="T32" i="1"/>
  <c r="AM16" i="1" s="1"/>
  <c r="T35" i="1"/>
  <c r="AM19" i="1" s="1"/>
  <c r="T34" i="1"/>
  <c r="AM18" i="1" s="1"/>
  <c r="T31" i="1"/>
  <c r="AM15" i="1" s="1"/>
  <c r="AN20" i="1" s="1"/>
  <c r="AL72" i="1"/>
  <c r="AM64" i="1"/>
  <c r="AN58" i="1"/>
  <c r="AN64" i="1" s="1"/>
  <c r="AL70" i="1" s="1"/>
  <c r="AC20" i="1" a="1"/>
  <c r="AH51" i="1" a="1"/>
  <c r="AH51" i="1" s="1"/>
  <c r="AH52" i="1" a="1"/>
  <c r="AH52" i="1" s="1"/>
  <c r="AH49" i="1" a="1"/>
  <c r="AH49" i="1" s="1"/>
  <c r="AK51" i="1"/>
  <c r="AO51" i="1" s="1"/>
  <c r="AM36" i="1" s="1"/>
  <c r="AH50" i="1" a="1"/>
  <c r="AH50" i="1" s="1"/>
  <c r="AK50" i="1"/>
  <c r="AO50" i="1" s="1"/>
  <c r="AM35" i="1" s="1"/>
  <c r="AK52" i="1"/>
  <c r="AO52" i="1" s="1"/>
  <c r="AM37" i="1" s="1"/>
  <c r="AK49" i="1"/>
  <c r="AO49" i="1" s="1"/>
  <c r="AM34" i="1" s="1"/>
  <c r="AL26" i="1"/>
  <c r="AL25" i="1"/>
  <c r="AL27" i="1"/>
  <c r="AL28" i="1"/>
  <c r="Q27" i="1"/>
  <c r="AM25" i="1" s="1" a="1"/>
  <c r="S27" i="1"/>
  <c r="AN14" i="1" l="1"/>
  <c r="AN16" i="1"/>
  <c r="AN18" i="1"/>
  <c r="AN17" i="1"/>
  <c r="AN19" i="1"/>
  <c r="AM28" i="1"/>
  <c r="AM27" i="1"/>
  <c r="AM26" i="1"/>
  <c r="AM25" i="1"/>
  <c r="AN29" i="1" s="1"/>
  <c r="AN15" i="1"/>
  <c r="AC23" i="1"/>
  <c r="AC21" i="1"/>
  <c r="AH20" i="1"/>
  <c r="AH22" i="1"/>
  <c r="AF22" i="1"/>
  <c r="AG22" i="1"/>
  <c r="AG20" i="1"/>
  <c r="AF20" i="1"/>
  <c r="AG21" i="1"/>
  <c r="AF21" i="1"/>
  <c r="AE21" i="1"/>
  <c r="AT26" i="1" s="1"/>
  <c r="AH23" i="1"/>
  <c r="AD21" i="1"/>
  <c r="AO26" i="1" s="1"/>
  <c r="AR26" i="1" s="1"/>
  <c r="AS26" i="1" s="1"/>
  <c r="AH21" i="1"/>
  <c r="AD20" i="1"/>
  <c r="AO25" i="1" s="1"/>
  <c r="AC20" i="1"/>
  <c r="AR42" i="1" s="1" a="1"/>
  <c r="AE22" i="1"/>
  <c r="AT27" i="1" s="1"/>
  <c r="AD22" i="1"/>
  <c r="AO27" i="1" s="1"/>
  <c r="AR27" i="1" s="1"/>
  <c r="AS27" i="1" s="1"/>
  <c r="AG23" i="1"/>
  <c r="AE23" i="1"/>
  <c r="AT28" i="1" s="1"/>
  <c r="AC22" i="1"/>
  <c r="AE20" i="1"/>
  <c r="AT25" i="1" s="1"/>
  <c r="AF23" i="1"/>
  <c r="AD23" i="1"/>
  <c r="AO28" i="1" s="1"/>
  <c r="W13" i="1" a="1"/>
  <c r="AC12" i="1" a="1"/>
  <c r="AN27" i="1" l="1"/>
  <c r="AN26" i="1"/>
  <c r="AN28" i="1"/>
  <c r="AW26" i="1"/>
  <c r="AX26" i="1" s="1"/>
  <c r="AU26" i="1"/>
  <c r="AV26" i="1" s="1"/>
  <c r="BB26" i="1"/>
  <c r="BB25" i="1"/>
  <c r="AW25" i="1"/>
  <c r="AX25" i="1" s="1"/>
  <c r="AU25" i="1"/>
  <c r="AV25" i="1" s="1"/>
  <c r="BB28" i="1"/>
  <c r="AW28" i="1"/>
  <c r="AX28" i="1" s="1"/>
  <c r="AU28" i="1"/>
  <c r="AV28" i="1" s="1"/>
  <c r="AC17" i="1"/>
  <c r="AC14" i="1"/>
  <c r="AF16" i="1"/>
  <c r="AF13" i="1"/>
  <c r="AE16" i="1"/>
  <c r="AT18" i="1" s="1"/>
  <c r="AE13" i="1"/>
  <c r="AT15" i="1" s="1"/>
  <c r="AC15" i="1"/>
  <c r="AF14" i="1"/>
  <c r="AE14" i="1"/>
  <c r="AT16" i="1" s="1"/>
  <c r="AD14" i="1"/>
  <c r="AO16" i="1" s="1"/>
  <c r="AD17" i="1"/>
  <c r="AO19" i="1" s="1"/>
  <c r="AC16" i="1"/>
  <c r="AF15" i="1"/>
  <c r="AE17" i="1"/>
  <c r="AT19" i="1" s="1"/>
  <c r="AD16" i="1"/>
  <c r="AO18" i="1" s="1"/>
  <c r="AD13" i="1"/>
  <c r="AO15" i="1" s="1"/>
  <c r="AC13" i="1"/>
  <c r="AE12" i="1"/>
  <c r="AT14" i="1" s="1"/>
  <c r="AF17" i="1"/>
  <c r="AE15" i="1"/>
  <c r="AT17" i="1" s="1"/>
  <c r="AD15" i="1"/>
  <c r="AO17" i="1" s="1"/>
  <c r="AD12" i="1"/>
  <c r="AC12" i="1"/>
  <c r="AF12" i="1"/>
  <c r="AP27" i="1"/>
  <c r="BA27" i="1"/>
  <c r="BA28" i="1"/>
  <c r="AP28" i="1"/>
  <c r="X16" i="1"/>
  <c r="X13" i="1"/>
  <c r="W16" i="1"/>
  <c r="W13" i="1"/>
  <c r="Z18" i="1"/>
  <c r="Z15" i="1"/>
  <c r="Y18" i="1"/>
  <c r="X17" i="1"/>
  <c r="Y13" i="1"/>
  <c r="W17" i="1"/>
  <c r="Z16" i="1"/>
  <c r="Y16" i="1"/>
  <c r="Z13" i="1"/>
  <c r="W18" i="1"/>
  <c r="Z17" i="1"/>
  <c r="Y17" i="1"/>
  <c r="W15" i="1"/>
  <c r="Z14" i="1"/>
  <c r="X15" i="1"/>
  <c r="Y14" i="1"/>
  <c r="X14" i="1"/>
  <c r="W14" i="1"/>
  <c r="Y15" i="1"/>
  <c r="X18" i="1"/>
  <c r="AR28" i="1"/>
  <c r="AS28" i="1" s="1"/>
  <c r="BB27" i="1"/>
  <c r="AU27" i="1"/>
  <c r="AV27" i="1" s="1"/>
  <c r="AW27" i="1"/>
  <c r="AX27" i="1" s="1"/>
  <c r="AR44" i="1"/>
  <c r="AU43" i="1"/>
  <c r="AT43" i="1"/>
  <c r="AS43" i="1"/>
  <c r="AU44" i="1"/>
  <c r="AT44" i="1"/>
  <c r="AS44" i="1"/>
  <c r="AR43" i="1"/>
  <c r="AU45" i="1"/>
  <c r="AS45" i="1"/>
  <c r="AR45" i="1"/>
  <c r="AU42" i="1"/>
  <c r="AS42" i="1"/>
  <c r="AR42" i="1"/>
  <c r="AT42" i="1"/>
  <c r="AT45" i="1"/>
  <c r="AN25" i="1"/>
  <c r="AP25" i="1"/>
  <c r="BA25" i="1"/>
  <c r="AR25" i="1"/>
  <c r="AS25" i="1" s="1"/>
  <c r="AP26" i="1"/>
  <c r="BA26" i="1"/>
  <c r="AT34" i="1" l="1"/>
  <c r="AU34" i="1" s="1"/>
  <c r="AV34" i="1" s="1"/>
  <c r="BB52" i="1"/>
  <c r="BB55" i="1"/>
  <c r="AT37" i="1"/>
  <c r="AU37" i="1" s="1"/>
  <c r="AV37" i="1" s="1"/>
  <c r="AT35" i="1"/>
  <c r="AU35" i="1" s="1"/>
  <c r="AV35" i="1" s="1"/>
  <c r="BB53" i="1"/>
  <c r="AP19" i="1"/>
  <c r="BA19" i="1"/>
  <c r="AR19" i="1"/>
  <c r="AS19" i="1" s="1"/>
  <c r="AO14" i="1"/>
  <c r="AQ58" i="1" a="1"/>
  <c r="AW17" i="1"/>
  <c r="AX17" i="1" s="1"/>
  <c r="AU17" i="1"/>
  <c r="AV17" i="1" s="1"/>
  <c r="BB17" i="1"/>
  <c r="AW62" i="1"/>
  <c r="BB39" i="1"/>
  <c r="AV63" i="1"/>
  <c r="BA40" i="1"/>
  <c r="AO37" i="1"/>
  <c r="AP37" i="1" s="1"/>
  <c r="BA55" i="1"/>
  <c r="AW64" i="1"/>
  <c r="BB41" i="1"/>
  <c r="BB14" i="1"/>
  <c r="AW14" i="1"/>
  <c r="AX14" i="1" s="1"/>
  <c r="AU14" i="1"/>
  <c r="AV14" i="1" s="1"/>
  <c r="AU15" i="1"/>
  <c r="AV15" i="1" s="1"/>
  <c r="AW15" i="1"/>
  <c r="AX15" i="1" s="1"/>
  <c r="BB15" i="1"/>
  <c r="BB40" i="1"/>
  <c r="AW63" i="1"/>
  <c r="AK26" i="1"/>
  <c r="AQ26" i="1"/>
  <c r="AU18" i="1"/>
  <c r="AV18" i="1" s="1"/>
  <c r="AW18" i="1"/>
  <c r="AX18" i="1" s="1"/>
  <c r="BB18" i="1"/>
  <c r="AK28" i="1"/>
  <c r="AQ28" i="1"/>
  <c r="AP15" i="1"/>
  <c r="BA15" i="1"/>
  <c r="AR15" i="1"/>
  <c r="AS15" i="1" s="1"/>
  <c r="AV62" i="1"/>
  <c r="BA39" i="1"/>
  <c r="AO36" i="1"/>
  <c r="AP36" i="1" s="1"/>
  <c r="BA54" i="1"/>
  <c r="AV65" i="1"/>
  <c r="BA42" i="1"/>
  <c r="BA18" i="1"/>
  <c r="AP18" i="1"/>
  <c r="AR18" i="1"/>
  <c r="AS18" i="1" s="1"/>
  <c r="AO35" i="1"/>
  <c r="AP35" i="1" s="1"/>
  <c r="BA53" i="1"/>
  <c r="BA16" i="1"/>
  <c r="AP16" i="1"/>
  <c r="AR16" i="1"/>
  <c r="AS16" i="1" s="1"/>
  <c r="BB42" i="1"/>
  <c r="AW65" i="1"/>
  <c r="BA52" i="1"/>
  <c r="AO34" i="1"/>
  <c r="AP34" i="1" s="1"/>
  <c r="AP17" i="1"/>
  <c r="BA17" i="1"/>
  <c r="AR17" i="1"/>
  <c r="AS17" i="1" s="1"/>
  <c r="AW16" i="1"/>
  <c r="AX16" i="1" s="1"/>
  <c r="AU16" i="1"/>
  <c r="AV16" i="1" s="1"/>
  <c r="BB16" i="1"/>
  <c r="AQ25" i="1"/>
  <c r="AK25" i="1"/>
  <c r="AT36" i="1"/>
  <c r="AU36" i="1" s="1"/>
  <c r="AV36" i="1" s="1"/>
  <c r="BB54" i="1"/>
  <c r="AV64" i="1"/>
  <c r="BA41" i="1"/>
  <c r="BB19" i="1"/>
  <c r="AU19" i="1"/>
  <c r="AV19" i="1" s="1"/>
  <c r="AW19" i="1"/>
  <c r="AX19" i="1" s="1"/>
  <c r="AQ27" i="1"/>
  <c r="AK27" i="1"/>
  <c r="BB38" i="1" l="1"/>
  <c r="BB51" i="1"/>
  <c r="BB50" i="1"/>
  <c r="BB37" i="1"/>
  <c r="AQ19" i="1"/>
  <c r="AK19" i="1"/>
  <c r="AS58" i="1"/>
  <c r="AR58" i="1"/>
  <c r="AQ58" i="1"/>
  <c r="AQ36" i="1"/>
  <c r="AK36" i="1"/>
  <c r="AK18" i="1"/>
  <c r="AQ18" i="1"/>
  <c r="AK17" i="1"/>
  <c r="AQ17" i="1"/>
  <c r="BB33" i="1"/>
  <c r="BB46" i="1"/>
  <c r="BA38" i="1"/>
  <c r="BA51" i="1"/>
  <c r="AK37" i="1"/>
  <c r="AQ37" i="1"/>
  <c r="AQ16" i="1"/>
  <c r="AK16" i="1"/>
  <c r="BB48" i="1"/>
  <c r="BB35" i="1"/>
  <c r="BA35" i="1"/>
  <c r="BA48" i="1"/>
  <c r="BB47" i="1"/>
  <c r="BB34" i="1"/>
  <c r="BA47" i="1"/>
  <c r="BA34" i="1"/>
  <c r="BA49" i="1"/>
  <c r="BA36" i="1"/>
  <c r="BA37" i="1"/>
  <c r="BA50" i="1"/>
  <c r="AQ34" i="1"/>
  <c r="AK34" i="1"/>
  <c r="AP14" i="1"/>
  <c r="BA14" i="1"/>
  <c r="AR14" i="1"/>
  <c r="AS14" i="1" s="1"/>
  <c r="AK35" i="1"/>
  <c r="AQ35" i="1"/>
  <c r="AQ15" i="1"/>
  <c r="AK15" i="1"/>
  <c r="BB49" i="1"/>
  <c r="BB36" i="1"/>
  <c r="AM70" i="1" l="1"/>
  <c r="AN70" i="1" s="1"/>
  <c r="AV66" i="1"/>
  <c r="AP70" i="1"/>
  <c r="AQ70" i="1" s="1"/>
  <c r="AR70" i="1" s="1"/>
  <c r="AW66" i="1"/>
  <c r="BA33" i="1"/>
  <c r="BA46" i="1"/>
  <c r="AQ14" i="1"/>
  <c r="AK14" i="1"/>
  <c r="AO70" i="1" l="1"/>
  <c r="AK70" i="1"/>
</calcChain>
</file>

<file path=xl/sharedStrings.xml><?xml version="1.0" encoding="utf-8"?>
<sst xmlns="http://schemas.openxmlformats.org/spreadsheetml/2006/main" count="192" uniqueCount="94">
  <si>
    <t>Correspondence Analysis</t>
  </si>
  <si>
    <t>Proportional Matrix</t>
  </si>
  <si>
    <t>Apple</t>
  </si>
  <si>
    <t>Samsung</t>
  </si>
  <si>
    <t>Nokia</t>
  </si>
  <si>
    <t>Huawei</t>
  </si>
  <si>
    <r>
      <t>D</t>
    </r>
    <r>
      <rPr>
        <vertAlign val="subscript"/>
        <sz val="11"/>
        <color theme="1"/>
        <rFont val="Calibri"/>
        <family val="2"/>
        <scheme val="minor"/>
      </rPr>
      <t>r</t>
    </r>
  </si>
  <si>
    <t>CARowFactors</t>
  </si>
  <si>
    <t>CAColFactors</t>
  </si>
  <si>
    <t>screen</t>
  </si>
  <si>
    <t>price</t>
  </si>
  <si>
    <t>design</t>
  </si>
  <si>
    <t>battery</t>
  </si>
  <si>
    <t>software</t>
  </si>
  <si>
    <t>camera</t>
  </si>
  <si>
    <r>
      <t>A = D</t>
    </r>
    <r>
      <rPr>
        <vertAlign val="subscript"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PD</t>
    </r>
    <r>
      <rPr>
        <vertAlign val="subscript"/>
        <sz val="11"/>
        <color theme="1"/>
        <rFont val="Calibri"/>
        <family val="2"/>
        <scheme val="minor"/>
      </rPr>
      <t>c</t>
    </r>
  </si>
  <si>
    <r>
      <t>Coordinate Matrix F = D</t>
    </r>
    <r>
      <rPr>
        <vertAlign val="subscript"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UD</t>
    </r>
  </si>
  <si>
    <t>Plot Details for Rows</t>
  </si>
  <si>
    <t>Expected Values</t>
  </si>
  <si>
    <t>Chi-Square Test</t>
  </si>
  <si>
    <r>
      <t>D</t>
    </r>
    <r>
      <rPr>
        <vertAlign val="subscript"/>
        <sz val="11"/>
        <color theme="1"/>
        <rFont val="Calibri"/>
        <family val="2"/>
        <scheme val="minor"/>
      </rPr>
      <t>c</t>
    </r>
  </si>
  <si>
    <t>Axis 1</t>
  </si>
  <si>
    <t>Axis 2</t>
  </si>
  <si>
    <t>Quality</t>
  </si>
  <si>
    <t>Mass</t>
  </si>
  <si>
    <t>Distance</t>
  </si>
  <si>
    <t>Inertia</t>
  </si>
  <si>
    <t>Factor</t>
  </si>
  <si>
    <t>COR</t>
  </si>
  <si>
    <t>Angle</t>
  </si>
  <si>
    <t>CRT</t>
  </si>
  <si>
    <t>eValue</t>
  </si>
  <si>
    <t>Factor 1</t>
  </si>
  <si>
    <t>Factor 2</t>
  </si>
  <si>
    <t>Total</t>
  </si>
  <si>
    <t>SUMMARY</t>
  </si>
  <si>
    <t>Alpha</t>
  </si>
  <si>
    <t>scr</t>
  </si>
  <si>
    <t>Count</t>
  </si>
  <si>
    <t>Rows</t>
  </si>
  <si>
    <t>Cols</t>
  </si>
  <si>
    <t>df</t>
  </si>
  <si>
    <t>pri</t>
  </si>
  <si>
    <t>des</t>
  </si>
  <si>
    <t>bat</t>
  </si>
  <si>
    <t>CHI-SQUARE</t>
  </si>
  <si>
    <t>sof</t>
  </si>
  <si>
    <t xml:space="preserve"> </t>
  </si>
  <si>
    <t>chi-sq</t>
  </si>
  <si>
    <t>p-value</t>
  </si>
  <si>
    <t>x-crit</t>
  </si>
  <si>
    <t>sig</t>
  </si>
  <si>
    <t>Cramer V</t>
  </si>
  <si>
    <r>
      <t>Coordinate Matrix G = D</t>
    </r>
    <r>
      <rPr>
        <vertAlign val="subscript"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VD</t>
    </r>
    <r>
      <rPr>
        <vertAlign val="superscript"/>
        <sz val="11"/>
        <color theme="1"/>
        <rFont val="Calibri"/>
        <family val="2"/>
        <scheme val="minor"/>
      </rPr>
      <t>T</t>
    </r>
  </si>
  <si>
    <t>cam</t>
  </si>
  <si>
    <t>Pearson's</t>
  </si>
  <si>
    <t>Column distances</t>
  </si>
  <si>
    <t>Max likelihood</t>
  </si>
  <si>
    <t>U of Singular Value Decomposition</t>
  </si>
  <si>
    <t>Plot Details for Columns</t>
  </si>
  <si>
    <t>χ2/n</t>
  </si>
  <si>
    <t>χ2</t>
  </si>
  <si>
    <r>
      <t>DD</t>
    </r>
    <r>
      <rPr>
        <vertAlign val="superscript"/>
        <sz val="11"/>
        <color theme="1"/>
        <rFont val="Calibri"/>
        <family val="2"/>
        <scheme val="minor"/>
      </rPr>
      <t>T</t>
    </r>
  </si>
  <si>
    <t>APP</t>
  </si>
  <si>
    <t>SAM</t>
  </si>
  <si>
    <t>NOK</t>
  </si>
  <si>
    <t>HUA</t>
  </si>
  <si>
    <t>Row distances</t>
  </si>
  <si>
    <t>D of Singular Value Decomposition</t>
  </si>
  <si>
    <t>Plot Details for Supplementary Rows</t>
  </si>
  <si>
    <t>Eigenvalues</t>
  </si>
  <si>
    <t>eValues</t>
  </si>
  <si>
    <t>%</t>
  </si>
  <si>
    <t>cum %</t>
  </si>
  <si>
    <t>V of Singular Value Decomposition</t>
  </si>
  <si>
    <t>supplement</t>
  </si>
  <si>
    <t>factor cordinates</t>
  </si>
  <si>
    <t>CAEigen</t>
  </si>
  <si>
    <t>app</t>
  </si>
  <si>
    <t>sam</t>
  </si>
  <si>
    <t>nok</t>
  </si>
  <si>
    <t>hua</t>
  </si>
  <si>
    <t>diag(D)</t>
  </si>
  <si>
    <t>distance</t>
  </si>
  <si>
    <t>Supplementary column profile</t>
  </si>
  <si>
    <t>Factor coordinates</t>
  </si>
  <si>
    <t>NEW</t>
  </si>
  <si>
    <t>Std</t>
  </si>
  <si>
    <t>P Matrix</t>
  </si>
  <si>
    <t>Plot Details for Supplementary Column</t>
  </si>
  <si>
    <t>Real Statistics Using Excel</t>
  </si>
  <si>
    <t>Updated</t>
  </si>
  <si>
    <t>Copyright © 2013 - 2025 Charles Zaiontz</t>
  </si>
  <si>
    <t>Correspondence Analysis Basic Concepts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</si>
</sst>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10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5" fillId="0" borderId="20" xfId="0" applyFont="1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0" fillId="0" borderId="1" xfId="0" applyBorder="1"/>
    <xf numFmtId="0" fontId="0" fillId="0" borderId="26" xfId="0" applyBorder="1"/>
    <xf numFmtId="0" fontId="0" fillId="0" borderId="27" xfId="0" applyBorder="1"/>
    <xf numFmtId="0" fontId="0" fillId="0" borderId="25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0" xfId="0" applyAlignment="1">
      <alignment horizontal="center"/>
    </xf>
    <xf numFmtId="10" fontId="0" fillId="0" borderId="26" xfId="1" applyNumberFormat="1" applyFont="1" applyBorder="1"/>
    <xf numFmtId="10" fontId="0" fillId="0" borderId="27" xfId="0" applyNumberFormat="1" applyBorder="1"/>
    <xf numFmtId="10" fontId="0" fillId="0" borderId="0" xfId="1" applyNumberFormat="1" applyFont="1" applyBorder="1"/>
    <xf numFmtId="10" fontId="0" fillId="0" borderId="21" xfId="0" applyNumberFormat="1" applyBorder="1"/>
    <xf numFmtId="10" fontId="0" fillId="0" borderId="23" xfId="1" applyNumberFormat="1" applyFont="1" applyBorder="1"/>
    <xf numFmtId="10" fontId="0" fillId="0" borderId="24" xfId="0" applyNumberFormat="1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1" xfId="0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2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15" fontId="0" fillId="0" borderId="0" xfId="0" applyNumberFormat="1"/>
    <xf numFmtId="0" fontId="4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CA - Rows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1882B62F-62E2-445C-9976-9361FE49BC0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C591-42FE-BA2E-8409B38FBF8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9BC4E77-C2FF-41F5-A450-5FE16CC7475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C591-42FE-BA2E-8409B38FBF8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ED34B929-9EA4-4DC5-90D6-1C5E638FB73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C591-42FE-BA2E-8409B38FBF8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FD620EF3-6F3F-4097-8373-D13E1EF820E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C591-42FE-BA2E-8409B38FBF8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6779D766-56A8-4BF8-AF38-769F29377EC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C591-42FE-BA2E-8409B38FBF8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9BF67F4C-F514-4BE4-B001-AE2A0FD59F7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C591-42FE-BA2E-8409B38FBF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'CA 1'!$BA$14:$BA$19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xVal>
          <c:yVal>
            <c:numRef>
              <c:f>'CA 1'!$BB$14:$BB$19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'CA 1'!$AZ$14:$AZ$19</c15:f>
                <c15:dlblRangeCache>
                  <c:ptCount val="6"/>
                  <c:pt idx="0">
                    <c:v>scr</c:v>
                  </c:pt>
                  <c:pt idx="1">
                    <c:v>pri</c:v>
                  </c:pt>
                  <c:pt idx="2">
                    <c:v>des</c:v>
                  </c:pt>
                  <c:pt idx="3">
                    <c:v>bat</c:v>
                  </c:pt>
                  <c:pt idx="4">
                    <c:v>sof</c:v>
                  </c:pt>
                  <c:pt idx="5">
                    <c:v>cam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6-C591-42FE-BA2E-8409B38FBF8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703616488"/>
        <c:axId val="703617664"/>
      </c:scatterChart>
      <c:valAx>
        <c:axId val="703616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3617664"/>
        <c:crossesAt val="0"/>
        <c:crossBetween val="midCat"/>
      </c:valAx>
      <c:valAx>
        <c:axId val="703617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36164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CA - Columns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'CA 1'!$BB$24</c:f>
              <c:strCache>
                <c:ptCount val="1"/>
                <c:pt idx="0">
                  <c:v>Factor 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388FA34B-247C-4D11-9B8A-4C0D80322D3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342D-4AE5-B57D-8D6E174D8BF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B617E711-E62D-43B8-AD87-E67C6E82EE5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342D-4AE5-B57D-8D6E174D8BF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0FB1610B-671D-49F7-8B1F-AD1EFDF0029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342D-4AE5-B57D-8D6E174D8BF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B4BB5E52-9C20-4D74-BA50-C3FDE3060EB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342D-4AE5-B57D-8D6E174D8B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'CA 1'!$BA$25:$BA$28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xVal>
          <c:yVal>
            <c:numRef>
              <c:f>'CA 1'!$BB$25:$BB$28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'CA 1'!$AZ$25:$AZ$28</c15:f>
                <c15:dlblRangeCache>
                  <c:ptCount val="4"/>
                  <c:pt idx="0">
                    <c:v>APP</c:v>
                  </c:pt>
                  <c:pt idx="1">
                    <c:v>SAM</c:v>
                  </c:pt>
                  <c:pt idx="2">
                    <c:v>NOK</c:v>
                  </c:pt>
                  <c:pt idx="3">
                    <c:v>HUA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342D-4AE5-B57D-8D6E174D8BF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584921528"/>
        <c:axId val="584918392"/>
      </c:scatterChart>
      <c:valAx>
        <c:axId val="584921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4918392"/>
        <c:crosses val="autoZero"/>
        <c:crossBetween val="midCat"/>
      </c:valAx>
      <c:valAx>
        <c:axId val="584918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49215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Correspondence Analysis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EA3A2421-DAC1-45BE-A5C4-01673988F12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9AD2-4B0B-925D-5892D9AE6CD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15074455-7350-429D-A8F4-602C2BCD72C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9AD2-4B0B-925D-5892D9AE6CD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4304EB23-F0E9-4278-9EF8-17226261E46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9AD2-4B0B-925D-5892D9AE6CD0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6E10CD32-B08D-4F65-91ED-ABC99761916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9AD2-4B0B-925D-5892D9AE6CD0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81C12936-67FC-445B-9AE6-7CCCE36E62F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9AD2-4B0B-925D-5892D9AE6CD0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064B40B6-F3B2-4BBE-8319-85E40168EF2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9AD2-4B0B-925D-5892D9AE6C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'CA 1'!$BA$14:$BA$19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xVal>
          <c:yVal>
            <c:numRef>
              <c:f>'CA 1'!$BB$14:$BB$19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'CA 1'!$AZ$14:$AZ$19</c15:f>
                <c15:dlblRangeCache>
                  <c:ptCount val="6"/>
                  <c:pt idx="0">
                    <c:v>scr</c:v>
                  </c:pt>
                  <c:pt idx="1">
                    <c:v>pri</c:v>
                  </c:pt>
                  <c:pt idx="2">
                    <c:v>des</c:v>
                  </c:pt>
                  <c:pt idx="3">
                    <c:v>bat</c:v>
                  </c:pt>
                  <c:pt idx="4">
                    <c:v>sof</c:v>
                  </c:pt>
                  <c:pt idx="5">
                    <c:v>cam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6-9AD2-4B0B-925D-5892D9AE6CD0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D1D7CDC1-ED77-4FAC-9369-7707A77F687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9AD2-4B0B-925D-5892D9AE6CD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4F4D2C5-399A-4909-B63C-D4E5F6C315D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9AD2-4B0B-925D-5892D9AE6CD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5AA7B45-8CAE-4139-977C-9836AB24764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9AD2-4B0B-925D-5892D9AE6CD0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99E74918-00D0-47EA-A3DD-CD728C7BD77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9AD2-4B0B-925D-5892D9AE6C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'CA 1'!$BA$25:$BA$28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xVal>
          <c:yVal>
            <c:numRef>
              <c:f>'CA 1'!$BB$25:$BB$28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'CA 1'!$AZ$25:$AZ$28</c15:f>
                <c15:dlblRangeCache>
                  <c:ptCount val="4"/>
                  <c:pt idx="0">
                    <c:v>APP</c:v>
                  </c:pt>
                  <c:pt idx="1">
                    <c:v>SAM</c:v>
                  </c:pt>
                  <c:pt idx="2">
                    <c:v>NOK</c:v>
                  </c:pt>
                  <c:pt idx="3">
                    <c:v>HUA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9AD2-4B0B-925D-5892D9AE6CD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584919960"/>
        <c:axId val="584919568"/>
      </c:scatterChart>
      <c:valAx>
        <c:axId val="5849199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4919568"/>
        <c:crosses val="autoZero"/>
        <c:crossBetween val="midCat"/>
      </c:valAx>
      <c:valAx>
        <c:axId val="584919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49199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CA Rows with Supplementary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B66D4A67-346F-4368-9C46-B017907FF5B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7B00-4787-A5C6-7B6CC4D5EDF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1137DCB9-BAEE-4C74-B686-9AEBB928AA4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7B00-4787-A5C6-7B6CC4D5EDF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654B1FF1-CFC9-48DC-A140-80CAB6197D6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7B00-4787-A5C6-7B6CC4D5EDF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E5806BEA-3140-4DF8-A486-6A38FC2AC13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7B00-4787-A5C6-7B6CC4D5EDF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4DB16EBD-D606-46FD-A689-D9D117A35B8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7B00-4787-A5C6-7B6CC4D5EDF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B05DAA96-7DDE-4ED8-A6D9-62D23113062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7B00-4787-A5C6-7B6CC4D5EDFE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FD7FA42B-059E-49AD-B8AB-CF27805DE65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7B00-4787-A5C6-7B6CC4D5EDFE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95A122EA-3CC9-4B61-827E-A9E6D5B673C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7B00-4787-A5C6-7B6CC4D5EDFE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0D9E4A6B-FD10-4F1B-B4D7-7C55E5381F7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7B00-4787-A5C6-7B6CC4D5EDFE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0A42EBF0-D660-466A-AEF9-88807A016C6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7B00-4787-A5C6-7B6CC4D5ED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'CA 1'!$BA$46:$BA$55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'CA 1'!$BB$46:$BB$55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'CA 1'!$AZ$46:$AZ$55</c15:f>
                <c15:dlblRangeCache>
                  <c:ptCount val="10"/>
                  <c:pt idx="0">
                    <c:v>scr</c:v>
                  </c:pt>
                  <c:pt idx="1">
                    <c:v>pri</c:v>
                  </c:pt>
                  <c:pt idx="2">
                    <c:v>des</c:v>
                  </c:pt>
                  <c:pt idx="3">
                    <c:v>bat</c:v>
                  </c:pt>
                  <c:pt idx="4">
                    <c:v>sof</c:v>
                  </c:pt>
                  <c:pt idx="5">
                    <c:v>cam</c:v>
                  </c:pt>
                  <c:pt idx="6">
                    <c:v>app</c:v>
                  </c:pt>
                  <c:pt idx="7">
                    <c:v>sam</c:v>
                  </c:pt>
                  <c:pt idx="8">
                    <c:v>nok</c:v>
                  </c:pt>
                  <c:pt idx="9">
                    <c:v>hua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A-7B00-4787-A5C6-7B6CC4D5ED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584919176"/>
        <c:axId val="584920744"/>
      </c:scatterChart>
      <c:valAx>
        <c:axId val="584919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4920744"/>
        <c:crosses val="autoZero"/>
        <c:crossBetween val="midCat"/>
      </c:valAx>
      <c:valAx>
        <c:axId val="584920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49191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CA with NEW Brand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669959F4-79C5-4B5F-AB79-B950B29FAE2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A14B-4EF2-BD47-FB439DFCFE1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6F6A7856-0435-4FAE-9DFC-257103E3A7F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A14B-4EF2-BD47-FB439DFCFE1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1A423D86-33DE-43FF-8ED4-07EC2C88E4B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A14B-4EF2-BD47-FB439DFCFE1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A76CBEAD-B3CD-41D7-B220-B6584C3D37D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A14B-4EF2-BD47-FB439DFCFE1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8212C45B-8FEC-413D-9AD4-5E086BC77F7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A14B-4EF2-BD47-FB439DFCFE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'CA 1'!$AV$62:$AV$66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'CA 1'!$AW$62:$AW$66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'CA 1'!$AU$62:$AU$66</c15:f>
                <c15:dlblRangeCache>
                  <c:ptCount val="5"/>
                  <c:pt idx="0">
                    <c:v>APP</c:v>
                  </c:pt>
                  <c:pt idx="1">
                    <c:v>SAM</c:v>
                  </c:pt>
                  <c:pt idx="2">
                    <c:v>NOK</c:v>
                  </c:pt>
                  <c:pt idx="3">
                    <c:v>HUA</c:v>
                  </c:pt>
                  <c:pt idx="4">
                    <c:v>NEW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5-A14B-4EF2-BD47-FB439DFCFE1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702121344"/>
        <c:axId val="702119776"/>
      </c:scatterChart>
      <c:valAx>
        <c:axId val="7021213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2119776"/>
        <c:crosses val="autoZero"/>
        <c:crossBetween val="midCat"/>
      </c:valAx>
      <c:valAx>
        <c:axId val="70211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21213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54</xdr:col>
      <xdr:colOff>285750</xdr:colOff>
      <xdr:row>1</xdr:row>
      <xdr:rowOff>128587</xdr:rowOff>
    </xdr:from>
    <xdr:to>
      <xdr:col>61</xdr:col>
      <xdr:colOff>400050</xdr:colOff>
      <xdr:row>15</xdr:row>
      <xdr:rowOff>185737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1741595-0C84-468A-9A1E-0547CD3848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61</xdr:col>
      <xdr:colOff>438150</xdr:colOff>
      <xdr:row>1</xdr:row>
      <xdr:rowOff>109537</xdr:rowOff>
    </xdr:from>
    <xdr:to>
      <xdr:col>69</xdr:col>
      <xdr:colOff>133350</xdr:colOff>
      <xdr:row>16</xdr:row>
      <xdr:rowOff>4762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12776B4-E587-48B7-8B58-769574A94A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54</xdr:col>
      <xdr:colOff>266700</xdr:colOff>
      <xdr:row>16</xdr:row>
      <xdr:rowOff>71437</xdr:rowOff>
    </xdr:from>
    <xdr:to>
      <xdr:col>61</xdr:col>
      <xdr:colOff>381000</xdr:colOff>
      <xdr:row>30</xdr:row>
      <xdr:rowOff>119062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3B483BE-737A-4ABC-AC02-A2B588FB5E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61</xdr:col>
      <xdr:colOff>461962</xdr:colOff>
      <xdr:row>16</xdr:row>
      <xdr:rowOff>42862</xdr:rowOff>
    </xdr:from>
    <xdr:to>
      <xdr:col>69</xdr:col>
      <xdr:colOff>157162</xdr:colOff>
      <xdr:row>30</xdr:row>
      <xdr:rowOff>90487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C2DB7BD-307B-40DF-8B6F-A9A8715023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45</xdr:col>
      <xdr:colOff>504825</xdr:colOff>
      <xdr:row>57</xdr:row>
      <xdr:rowOff>14287</xdr:rowOff>
    </xdr:from>
    <xdr:to>
      <xdr:col>53</xdr:col>
      <xdr:colOff>200025</xdr:colOff>
      <xdr:row>71</xdr:row>
      <xdr:rowOff>90487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E7130AC-4243-42DE-BE40-77C79FF07C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8f5cd2f1f925cfd/Documenti/A%20Real%20Statistics%202020/Examples/Real%20Statistics%20Multivariate%20Examples.xlsx" TargetMode="External"/><Relationship Id="rId1" Type="http://schemas.openxmlformats.org/officeDocument/2006/relationships/externalLinkPath" Target="/38f5cd2f1f925cfd/Documenti/A%20Real%20Statistics%202020/Examples/Real%20Statistics%20Multivariate%20Exampl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C0"/>
      <sheetName val="TOC"/>
      <sheetName val="Desc"/>
      <sheetName val="Ellipse"/>
      <sheetName val="Ellipse 2"/>
      <sheetName val="Bivar"/>
      <sheetName val="Bivar 1"/>
      <sheetName val="FR"/>
      <sheetName val="FRSJ"/>
      <sheetName val="Hotel 1"/>
      <sheetName val="Hotel 2P"/>
      <sheetName val="Hotel 2"/>
      <sheetName val="Hotel 2a"/>
      <sheetName val="Hotel 2b"/>
      <sheetName val="Hotel 3"/>
      <sheetName val="Hotel 3a"/>
      <sheetName val="Hotel 3b"/>
      <sheetName val="Rep Measures 1"/>
      <sheetName val="Rep 2W a"/>
      <sheetName val="Rep 2W b"/>
      <sheetName val="Rep 2W c"/>
      <sheetName val="Rep Measures 2"/>
      <sheetName val="Rep Measures 3"/>
      <sheetName val="Rep 2W+1B"/>
      <sheetName val="Hot1 Power"/>
      <sheetName val="Hot2 Power"/>
      <sheetName val="Box 2"/>
      <sheetName val="Box 2a"/>
      <sheetName val="Box 3a"/>
      <sheetName val="Box 3b"/>
      <sheetName val="Manova 1"/>
      <sheetName val="Manova 1a"/>
      <sheetName val="Manova 1b"/>
      <sheetName val="Manova 1c"/>
      <sheetName val="Manova 1d"/>
      <sheetName val="Manova 1e"/>
      <sheetName val="Manova 1f"/>
      <sheetName val="Manova 1g"/>
      <sheetName val="Manova 1h"/>
      <sheetName val="Manova 1i"/>
      <sheetName val="Manova 1j"/>
      <sheetName val="Manova 1k"/>
      <sheetName val="Manova2"/>
      <sheetName val="Man Power"/>
      <sheetName val="Man2 Power"/>
      <sheetName val="PMANOVA1"/>
      <sheetName val="PMANOVA2"/>
      <sheetName val="PMANOVA3"/>
      <sheetName val="PANOVA"/>
      <sheetName val="Box"/>
      <sheetName val="PCA"/>
      <sheetName val="Factor"/>
      <sheetName val="Box Factor"/>
      <sheetName val="KMO"/>
      <sheetName val="Clust 1"/>
      <sheetName val="Clust 2"/>
      <sheetName val="Clust 3"/>
      <sheetName val="Clust 3a"/>
      <sheetName val="Clust 3b"/>
      <sheetName val="Clust A"/>
      <sheetName val="Clust B"/>
      <sheetName val="Clust C"/>
      <sheetName val="Clust D"/>
      <sheetName val="Clust E"/>
      <sheetName val="Clust E1"/>
      <sheetName val="Clust F"/>
      <sheetName val="Jenks 1"/>
      <sheetName val="Jenks 2"/>
      <sheetName val="Jenks 3"/>
      <sheetName val="Jenks 4"/>
      <sheetName val="Discrim 1"/>
      <sheetName val="Discrim 2"/>
      <sheetName val="Discrim 3"/>
      <sheetName val="Discrim 4"/>
      <sheetName val="CA 1"/>
      <sheetName val="CA 2"/>
      <sheetName val="CA 3"/>
      <sheetName val="CA 4"/>
      <sheetName val="Fact PCA"/>
      <sheetName val="PAF Comm"/>
      <sheetName val="Fact PA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>
        <row r="14">
          <cell r="AZ14" t="str">
            <v>scr</v>
          </cell>
          <cell r="BA14">
            <v>0.28861259679030565</v>
          </cell>
          <cell r="BB14">
            <v>0.10890552822986661</v>
          </cell>
        </row>
        <row r="15">
          <cell r="AZ15" t="str">
            <v>pri</v>
          </cell>
          <cell r="BA15">
            <v>-1.1631656524856282</v>
          </cell>
          <cell r="BB15">
            <v>-2.1562865895508834E-2</v>
          </cell>
        </row>
        <row r="16">
          <cell r="AZ16" t="str">
            <v>des</v>
          </cell>
          <cell r="BA16">
            <v>0.14114782228736897</v>
          </cell>
          <cell r="BB16">
            <v>-0.22292108284256743</v>
          </cell>
        </row>
        <row r="17">
          <cell r="AZ17" t="str">
            <v>bat</v>
          </cell>
          <cell r="BA17">
            <v>-0.16171270956818795</v>
          </cell>
          <cell r="BB17">
            <v>0.19783714786196652</v>
          </cell>
        </row>
        <row r="18">
          <cell r="AZ18" t="str">
            <v>sof</v>
          </cell>
          <cell r="BA18">
            <v>0.22039226470543191</v>
          </cell>
          <cell r="BB18">
            <v>-0.14110005369720902</v>
          </cell>
        </row>
        <row r="19">
          <cell r="AZ19" t="str">
            <v>cam</v>
          </cell>
          <cell r="BA19">
            <v>0.32322482930726931</v>
          </cell>
          <cell r="BB19">
            <v>0.16776999581485025</v>
          </cell>
        </row>
        <row r="24">
          <cell r="BB24" t="str">
            <v>Factor 2</v>
          </cell>
        </row>
        <row r="25">
          <cell r="AZ25" t="str">
            <v>APP</v>
          </cell>
          <cell r="BA25">
            <v>0.34040167699443663</v>
          </cell>
          <cell r="BB25">
            <v>-0.11445979834628008</v>
          </cell>
        </row>
        <row r="26">
          <cell r="AZ26" t="str">
            <v>SAM</v>
          </cell>
          <cell r="BA26">
            <v>0.31670922413099556</v>
          </cell>
          <cell r="BB26">
            <v>0.21611725353889008</v>
          </cell>
        </row>
        <row r="27">
          <cell r="AZ27" t="str">
            <v>NOK</v>
          </cell>
          <cell r="BA27">
            <v>-0.96397532065953229</v>
          </cell>
          <cell r="BB27">
            <v>0.10439130542805382</v>
          </cell>
        </row>
        <row r="28">
          <cell r="AZ28" t="str">
            <v>HUA</v>
          </cell>
          <cell r="BA28">
            <v>-0.19799374104502077</v>
          </cell>
          <cell r="BB28">
            <v>-0.17240486600808033</v>
          </cell>
        </row>
        <row r="46">
          <cell r="AZ46" t="str">
            <v>scr</v>
          </cell>
          <cell r="BA46">
            <v>0.28861259679030565</v>
          </cell>
          <cell r="BB46">
            <v>0.10890552822986661</v>
          </cell>
        </row>
        <row r="47">
          <cell r="AZ47" t="str">
            <v>pri</v>
          </cell>
          <cell r="BA47">
            <v>-1.1631656524856282</v>
          </cell>
          <cell r="BB47">
            <v>-2.1562865895508834E-2</v>
          </cell>
        </row>
        <row r="48">
          <cell r="AZ48" t="str">
            <v>des</v>
          </cell>
          <cell r="BA48">
            <v>0.14114782228736897</v>
          </cell>
          <cell r="BB48">
            <v>-0.22292108284256743</v>
          </cell>
        </row>
        <row r="49">
          <cell r="AZ49" t="str">
            <v>bat</v>
          </cell>
          <cell r="BA49">
            <v>-0.16171270956818795</v>
          </cell>
          <cell r="BB49">
            <v>0.19783714786196652</v>
          </cell>
        </row>
        <row r="50">
          <cell r="AZ50" t="str">
            <v>sof</v>
          </cell>
          <cell r="BA50">
            <v>0.22039226470543191</v>
          </cell>
          <cell r="BB50">
            <v>-0.14110005369720902</v>
          </cell>
        </row>
        <row r="51">
          <cell r="AZ51" t="str">
            <v>cam</v>
          </cell>
          <cell r="BA51">
            <v>0.32322482930726931</v>
          </cell>
          <cell r="BB51">
            <v>0.16776999581485025</v>
          </cell>
        </row>
        <row r="52">
          <cell r="AZ52" t="str">
            <v>app</v>
          </cell>
          <cell r="BA52">
            <v>0.72735432064482164</v>
          </cell>
          <cell r="BB52">
            <v>-0.70414148520076647</v>
          </cell>
        </row>
        <row r="53">
          <cell r="AZ53" t="str">
            <v>sam</v>
          </cell>
          <cell r="BA53">
            <v>0.67672939978939561</v>
          </cell>
          <cell r="BB53">
            <v>1.3295246547962347</v>
          </cell>
        </row>
        <row r="54">
          <cell r="AZ54" t="str">
            <v>nok</v>
          </cell>
          <cell r="BA54">
            <v>-2.0597772040005182</v>
          </cell>
          <cell r="BB54">
            <v>0.64220145333276824</v>
          </cell>
        </row>
        <row r="55">
          <cell r="AZ55" t="str">
            <v>hua</v>
          </cell>
          <cell r="BA55">
            <v>-0.42306372953644844</v>
          </cell>
          <cell r="BB55">
            <v>-1.060611849406724</v>
          </cell>
        </row>
        <row r="62">
          <cell r="AU62" t="str">
            <v>APP</v>
          </cell>
          <cell r="AV62">
            <v>0.34040167699443663</v>
          </cell>
          <cell r="AW62">
            <v>-0.11445979834628008</v>
          </cell>
        </row>
        <row r="63">
          <cell r="AU63" t="str">
            <v>SAM</v>
          </cell>
          <cell r="AV63">
            <v>0.31670922413099556</v>
          </cell>
          <cell r="AW63">
            <v>0.21611725353889008</v>
          </cell>
        </row>
        <row r="64">
          <cell r="AU64" t="str">
            <v>NOK</v>
          </cell>
          <cell r="AV64">
            <v>-0.96397532065953229</v>
          </cell>
          <cell r="AW64">
            <v>0.10439130542805382</v>
          </cell>
        </row>
        <row r="65">
          <cell r="AU65" t="str">
            <v>HUA</v>
          </cell>
          <cell r="AV65">
            <v>-0.19799374104502077</v>
          </cell>
          <cell r="AW65">
            <v>-0.17240486600808033</v>
          </cell>
        </row>
        <row r="66">
          <cell r="AU66" t="str">
            <v>NEW</v>
          </cell>
          <cell r="AV66">
            <v>-0.17003099643974115</v>
          </cell>
          <cell r="AW66">
            <v>6.7520350204329005E-2</v>
          </cell>
        </row>
      </sheetData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05668-4384-4617-998D-F3573A60F5EF}">
  <dimension ref="A1:B6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2" x14ac:dyDescent="0.35">
      <c r="A1" t="s">
        <v>90</v>
      </c>
    </row>
    <row r="2" spans="1:2" x14ac:dyDescent="0.35">
      <c r="A2" t="s">
        <v>93</v>
      </c>
    </row>
    <row r="4" spans="1:2" x14ac:dyDescent="0.35">
      <c r="A4" t="s">
        <v>91</v>
      </c>
      <c r="B4" s="74">
        <v>45958</v>
      </c>
    </row>
    <row r="6" spans="1:2" x14ac:dyDescent="0.35">
      <c r="A6" s="75" t="s">
        <v>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514A6-B29A-4C99-8ED6-E46EF30C5DF1}">
  <dimension ref="A1:BB72"/>
  <sheetViews>
    <sheetView zoomScaleNormal="100" workbookViewId="0"/>
  </sheetViews>
  <sheetFormatPr defaultRowHeight="14.5" x14ac:dyDescent="0.35"/>
  <cols>
    <col min="9" max="9" width="9.1796875" customWidth="1"/>
    <col min="21" max="21" width="4.81640625" customWidth="1"/>
    <col min="28" max="28" width="3.1796875" customWidth="1"/>
    <col min="29" max="29" width="9.1796875" customWidth="1"/>
    <col min="38" max="38" width="9.1796875" customWidth="1"/>
    <col min="40" max="40" width="9.1796875" customWidth="1"/>
    <col min="44" max="44" width="9.1796875" customWidth="1"/>
    <col min="56" max="56" width="12" bestFit="1" customWidth="1"/>
  </cols>
  <sheetData>
    <row r="1" spans="1:54" s="2" customFormat="1" x14ac:dyDescent="0.35">
      <c r="A1" s="1" t="s">
        <v>0</v>
      </c>
      <c r="B1" s="1"/>
      <c r="O1" s="2" t="s">
        <v>1</v>
      </c>
    </row>
    <row r="2" spans="1:54" s="2" customFormat="1" x14ac:dyDescent="0.35"/>
    <row r="3" spans="1:54" s="2" customFormat="1" ht="15" customHeight="1" x14ac:dyDescent="0.35">
      <c r="B3" s="3" t="s">
        <v>2</v>
      </c>
      <c r="C3" s="3" t="s">
        <v>3</v>
      </c>
      <c r="D3" s="3" t="s">
        <v>4</v>
      </c>
      <c r="E3" s="3" t="s">
        <v>5</v>
      </c>
      <c r="P3" s="3" t="str">
        <f>B3</f>
        <v>Apple</v>
      </c>
      <c r="Q3" s="3" t="str">
        <f t="shared" ref="Q3:S3" si="0">C3</f>
        <v>Samsung</v>
      </c>
      <c r="R3" s="3" t="str">
        <f t="shared" si="0"/>
        <v>Nokia</v>
      </c>
      <c r="S3" s="3" t="str">
        <f t="shared" si="0"/>
        <v>Huawei</v>
      </c>
      <c r="V3" s="2" t="s">
        <v>6</v>
      </c>
      <c r="AD3" s="2" t="s">
        <v>7</v>
      </c>
      <c r="AH3" s="2" t="s">
        <v>8</v>
      </c>
    </row>
    <row r="4" spans="1:54" s="2" customFormat="1" x14ac:dyDescent="0.35">
      <c r="A4" s="2" t="s">
        <v>9</v>
      </c>
      <c r="B4" s="4">
        <v>36</v>
      </c>
      <c r="C4" s="5">
        <v>42</v>
      </c>
      <c r="D4" s="5">
        <v>7</v>
      </c>
      <c r="E4" s="6">
        <v>22</v>
      </c>
      <c r="F4" s="2">
        <f t="shared" ref="F4:F10" si="1">SUM(B4:E4)</f>
        <v>107</v>
      </c>
      <c r="H4" s="7"/>
      <c r="O4" s="2" t="str">
        <f>A4</f>
        <v>screen</v>
      </c>
      <c r="P4" s="4">
        <f t="shared" ref="P4:S9" si="2">B4/$F$10</f>
        <v>5.4794520547945202E-2</v>
      </c>
      <c r="Q4" s="5">
        <f t="shared" si="2"/>
        <v>6.3926940639269403E-2</v>
      </c>
      <c r="R4" s="5">
        <f t="shared" si="2"/>
        <v>1.06544901065449E-2</v>
      </c>
      <c r="S4" s="6">
        <f t="shared" si="2"/>
        <v>3.3485540334855401E-2</v>
      </c>
      <c r="T4" s="2">
        <f t="shared" ref="T4:T10" si="3">SUM(P4:S4)</f>
        <v>0.16286149162861491</v>
      </c>
      <c r="V4" s="4" t="e">
        <f t="array" aca="1" ref="V4:AA9" ca="1">DIAGONAL(1/SQRT(T4:T9))</f>
        <v>#NAME?</v>
      </c>
      <c r="W4" s="5" t="e">
        <f ca="1"/>
        <v>#NAME?</v>
      </c>
      <c r="X4" s="5" t="e">
        <f ca="1"/>
        <v>#NAME?</v>
      </c>
      <c r="Y4" s="5" t="e">
        <f ca="1"/>
        <v>#NAME?</v>
      </c>
      <c r="Z4" s="5" t="e">
        <f ca="1"/>
        <v>#NAME?</v>
      </c>
      <c r="AA4" s="6" t="e">
        <f ca="1"/>
        <v>#NAME?</v>
      </c>
      <c r="AD4" s="4" t="e">
        <f t="array" aca="1" ref="AD4:AF9" ca="1">CARowFactors(B4:E9)</f>
        <v>#NAME?</v>
      </c>
      <c r="AE4" s="5" t="e">
        <f ca="1"/>
        <v>#NAME?</v>
      </c>
      <c r="AF4" s="6" t="e">
        <f ca="1"/>
        <v>#NAME?</v>
      </c>
      <c r="AH4" s="4" t="e">
        <f t="array" aca="1" ref="AH4:AJ7" ca="1">CAColFactors(B4:E9)</f>
        <v>#NAME?</v>
      </c>
      <c r="AI4" s="5" t="e">
        <f ca="1"/>
        <v>#NAME?</v>
      </c>
      <c r="AJ4" s="6" t="e">
        <f ca="1"/>
        <v>#NAME?</v>
      </c>
    </row>
    <row r="5" spans="1:54" s="2" customFormat="1" x14ac:dyDescent="0.35">
      <c r="A5" s="2" t="s">
        <v>10</v>
      </c>
      <c r="B5" s="8">
        <v>3</v>
      </c>
      <c r="C5" s="2">
        <v>5</v>
      </c>
      <c r="D5" s="2">
        <v>43</v>
      </c>
      <c r="E5" s="9">
        <v>32</v>
      </c>
      <c r="F5" s="2">
        <f t="shared" si="1"/>
        <v>83</v>
      </c>
      <c r="O5" s="2" t="str">
        <f t="shared" ref="O5:O9" si="4">A5</f>
        <v>price</v>
      </c>
      <c r="P5" s="8">
        <f t="shared" si="2"/>
        <v>4.5662100456621002E-3</v>
      </c>
      <c r="Q5" s="2">
        <f t="shared" si="2"/>
        <v>7.6103500761035003E-3</v>
      </c>
      <c r="R5" s="2">
        <f t="shared" si="2"/>
        <v>6.5449010654490103E-2</v>
      </c>
      <c r="S5" s="9">
        <f t="shared" si="2"/>
        <v>4.8706240487062402E-2</v>
      </c>
      <c r="T5" s="2">
        <f t="shared" si="3"/>
        <v>0.12633181126331811</v>
      </c>
      <c r="V5" s="8" t="e">
        <f ca="1"/>
        <v>#NAME?</v>
      </c>
      <c r="W5" s="2" t="e">
        <f ca="1"/>
        <v>#NAME?</v>
      </c>
      <c r="X5" s="2" t="e">
        <f ca="1"/>
        <v>#NAME?</v>
      </c>
      <c r="Y5" s="2" t="e">
        <f ca="1"/>
        <v>#NAME?</v>
      </c>
      <c r="Z5" s="2" t="e">
        <f ca="1"/>
        <v>#NAME?</v>
      </c>
      <c r="AA5" s="9" t="e">
        <f ca="1"/>
        <v>#NAME?</v>
      </c>
      <c r="AD5" s="8" t="e">
        <f ca="1"/>
        <v>#NAME?</v>
      </c>
      <c r="AE5" s="2" t="e">
        <f ca="1"/>
        <v>#NAME?</v>
      </c>
      <c r="AF5" s="9" t="e">
        <f ca="1"/>
        <v>#NAME?</v>
      </c>
      <c r="AH5" s="8" t="e">
        <f ca="1"/>
        <v>#NAME?</v>
      </c>
      <c r="AI5" s="2" t="e">
        <f ca="1"/>
        <v>#NAME?</v>
      </c>
      <c r="AJ5" s="9" t="e">
        <f ca="1"/>
        <v>#NAME?</v>
      </c>
    </row>
    <row r="6" spans="1:54" s="2" customFormat="1" x14ac:dyDescent="0.35">
      <c r="A6" s="2" t="s">
        <v>11</v>
      </c>
      <c r="B6" s="8">
        <v>56</v>
      </c>
      <c r="C6" s="2">
        <v>29</v>
      </c>
      <c r="D6" s="2">
        <v>13</v>
      </c>
      <c r="E6" s="9">
        <v>35</v>
      </c>
      <c r="F6" s="2">
        <f t="shared" si="1"/>
        <v>133</v>
      </c>
      <c r="O6" s="2" t="str">
        <f t="shared" si="4"/>
        <v>design</v>
      </c>
      <c r="P6" s="8">
        <f t="shared" si="2"/>
        <v>8.5235920852359204E-2</v>
      </c>
      <c r="Q6" s="2">
        <f t="shared" si="2"/>
        <v>4.4140030441400302E-2</v>
      </c>
      <c r="R6" s="2">
        <f t="shared" si="2"/>
        <v>1.9786910197869101E-2</v>
      </c>
      <c r="S6" s="9">
        <f t="shared" si="2"/>
        <v>5.3272450532724502E-2</v>
      </c>
      <c r="T6" s="2">
        <f t="shared" si="3"/>
        <v>0.20243531202435311</v>
      </c>
      <c r="V6" s="8" t="e">
        <f ca="1"/>
        <v>#NAME?</v>
      </c>
      <c r="W6" s="2" t="e">
        <f ca="1"/>
        <v>#NAME?</v>
      </c>
      <c r="X6" s="2" t="e">
        <f ca="1"/>
        <v>#NAME?</v>
      </c>
      <c r="Y6" s="2" t="e">
        <f ca="1"/>
        <v>#NAME?</v>
      </c>
      <c r="Z6" s="2" t="e">
        <f ca="1"/>
        <v>#NAME?</v>
      </c>
      <c r="AA6" s="9" t="e">
        <f ca="1"/>
        <v>#NAME?</v>
      </c>
      <c r="AD6" s="8" t="e">
        <f ca="1"/>
        <v>#NAME?</v>
      </c>
      <c r="AE6" s="2" t="e">
        <f ca="1"/>
        <v>#NAME?</v>
      </c>
      <c r="AF6" s="9" t="e">
        <f ca="1"/>
        <v>#NAME?</v>
      </c>
      <c r="AH6" s="8" t="e">
        <f ca="1"/>
        <v>#NAME?</v>
      </c>
      <c r="AI6" s="2" t="e">
        <f ca="1"/>
        <v>#NAME?</v>
      </c>
      <c r="AJ6" s="9" t="e">
        <f ca="1"/>
        <v>#NAME?</v>
      </c>
    </row>
    <row r="7" spans="1:54" s="2" customFormat="1" x14ac:dyDescent="0.35">
      <c r="A7" s="2" t="s">
        <v>12</v>
      </c>
      <c r="B7" s="8">
        <v>27</v>
      </c>
      <c r="C7" s="2">
        <v>31</v>
      </c>
      <c r="D7" s="2">
        <v>24</v>
      </c>
      <c r="E7" s="9">
        <v>17</v>
      </c>
      <c r="F7" s="2">
        <f t="shared" si="1"/>
        <v>99</v>
      </c>
      <c r="O7" s="2" t="str">
        <f t="shared" si="4"/>
        <v>battery</v>
      </c>
      <c r="P7" s="8">
        <f t="shared" si="2"/>
        <v>4.1095890410958902E-2</v>
      </c>
      <c r="Q7" s="2">
        <f t="shared" si="2"/>
        <v>4.7184170471841702E-2</v>
      </c>
      <c r="R7" s="2">
        <f t="shared" si="2"/>
        <v>3.6529680365296802E-2</v>
      </c>
      <c r="S7" s="9">
        <f t="shared" si="2"/>
        <v>2.5875190258751901E-2</v>
      </c>
      <c r="T7" s="2">
        <f t="shared" si="3"/>
        <v>0.15068493150684931</v>
      </c>
      <c r="V7" s="8" t="e">
        <f ca="1"/>
        <v>#NAME?</v>
      </c>
      <c r="W7" s="2" t="e">
        <f ca="1"/>
        <v>#NAME?</v>
      </c>
      <c r="X7" s="2" t="e">
        <f ca="1"/>
        <v>#NAME?</v>
      </c>
      <c r="Y7" s="2" t="e">
        <f ca="1"/>
        <v>#NAME?</v>
      </c>
      <c r="Z7" s="2" t="e">
        <f ca="1"/>
        <v>#NAME?</v>
      </c>
      <c r="AA7" s="9" t="e">
        <f ca="1"/>
        <v>#NAME?</v>
      </c>
      <c r="AD7" s="8" t="e">
        <f ca="1"/>
        <v>#NAME?</v>
      </c>
      <c r="AE7" s="2" t="e">
        <f ca="1"/>
        <v>#NAME?</v>
      </c>
      <c r="AF7" s="9" t="e">
        <f ca="1"/>
        <v>#NAME?</v>
      </c>
      <c r="AH7" s="10" t="e">
        <f ca="1"/>
        <v>#NAME?</v>
      </c>
      <c r="AI7" s="11" t="e">
        <f ca="1"/>
        <v>#NAME?</v>
      </c>
      <c r="AJ7" s="12" t="e">
        <f ca="1"/>
        <v>#NAME?</v>
      </c>
    </row>
    <row r="8" spans="1:54" s="2" customFormat="1" x14ac:dyDescent="0.35">
      <c r="A8" s="2" t="s">
        <v>13</v>
      </c>
      <c r="B8" s="8">
        <v>48</v>
      </c>
      <c r="C8" s="2">
        <v>36</v>
      </c>
      <c r="D8" s="2">
        <v>8</v>
      </c>
      <c r="E8" s="9">
        <v>35</v>
      </c>
      <c r="F8" s="2">
        <f t="shared" si="1"/>
        <v>127</v>
      </c>
      <c r="O8" s="2" t="str">
        <f t="shared" si="4"/>
        <v>software</v>
      </c>
      <c r="P8" s="8">
        <f t="shared" si="2"/>
        <v>7.3059360730593603E-2</v>
      </c>
      <c r="Q8" s="2">
        <f t="shared" si="2"/>
        <v>5.4794520547945202E-2</v>
      </c>
      <c r="R8" s="2">
        <f t="shared" si="2"/>
        <v>1.2176560121765601E-2</v>
      </c>
      <c r="S8" s="9">
        <f t="shared" si="2"/>
        <v>5.3272450532724502E-2</v>
      </c>
      <c r="T8" s="2">
        <f t="shared" si="3"/>
        <v>0.19330289193302891</v>
      </c>
      <c r="V8" s="8" t="e">
        <f ca="1"/>
        <v>#NAME?</v>
      </c>
      <c r="W8" s="2" t="e">
        <f ca="1"/>
        <v>#NAME?</v>
      </c>
      <c r="X8" s="2" t="e">
        <f ca="1"/>
        <v>#NAME?</v>
      </c>
      <c r="Y8" s="2" t="e">
        <f ca="1"/>
        <v>#NAME?</v>
      </c>
      <c r="Z8" s="2" t="e">
        <f ca="1"/>
        <v>#NAME?</v>
      </c>
      <c r="AA8" s="9" t="e">
        <f ca="1"/>
        <v>#NAME?</v>
      </c>
      <c r="AD8" s="8" t="e">
        <f ca="1"/>
        <v>#NAME?</v>
      </c>
      <c r="AE8" s="2" t="e">
        <f ca="1"/>
        <v>#NAME?</v>
      </c>
      <c r="AF8" s="9" t="e">
        <f ca="1"/>
        <v>#NAME?</v>
      </c>
    </row>
    <row r="9" spans="1:54" s="2" customFormat="1" x14ac:dyDescent="0.35">
      <c r="A9" s="2" t="s">
        <v>14</v>
      </c>
      <c r="B9" s="10">
        <v>37</v>
      </c>
      <c r="C9" s="11">
        <v>45</v>
      </c>
      <c r="D9" s="11">
        <v>7</v>
      </c>
      <c r="E9" s="12">
        <v>19</v>
      </c>
      <c r="F9" s="2">
        <f t="shared" si="1"/>
        <v>108</v>
      </c>
      <c r="O9" s="2" t="str">
        <f t="shared" si="4"/>
        <v>camera</v>
      </c>
      <c r="P9" s="10">
        <f t="shared" si="2"/>
        <v>5.6316590563165903E-2</v>
      </c>
      <c r="Q9" s="11">
        <f t="shared" si="2"/>
        <v>6.8493150684931503E-2</v>
      </c>
      <c r="R9" s="11">
        <f t="shared" si="2"/>
        <v>1.06544901065449E-2</v>
      </c>
      <c r="S9" s="12">
        <f t="shared" si="2"/>
        <v>2.8919330289193301E-2</v>
      </c>
      <c r="T9" s="2">
        <f t="shared" si="3"/>
        <v>0.16438356164383561</v>
      </c>
      <c r="V9" s="10" t="e">
        <f ca="1"/>
        <v>#NAME?</v>
      </c>
      <c r="W9" s="11" t="e">
        <f ca="1"/>
        <v>#NAME?</v>
      </c>
      <c r="X9" s="11" t="e">
        <f ca="1"/>
        <v>#NAME?</v>
      </c>
      <c r="Y9" s="11" t="e">
        <f ca="1"/>
        <v>#NAME?</v>
      </c>
      <c r="Z9" s="11" t="e">
        <f ca="1"/>
        <v>#NAME?</v>
      </c>
      <c r="AA9" s="12" t="e">
        <f ca="1"/>
        <v>#NAME?</v>
      </c>
      <c r="AD9" s="10" t="e">
        <f ca="1"/>
        <v>#NAME?</v>
      </c>
      <c r="AE9" s="11" t="e">
        <f ca="1"/>
        <v>#NAME?</v>
      </c>
      <c r="AF9" s="12" t="e">
        <f ca="1"/>
        <v>#NAME?</v>
      </c>
    </row>
    <row r="10" spans="1:54" s="2" customFormat="1" x14ac:dyDescent="0.35">
      <c r="B10" s="2">
        <f>SUM(B4:B9)</f>
        <v>207</v>
      </c>
      <c r="C10" s="2">
        <f>SUM(C4:C9)</f>
        <v>188</v>
      </c>
      <c r="D10" s="2">
        <f>SUM(D4:D9)</f>
        <v>102</v>
      </c>
      <c r="E10" s="2">
        <f>SUM(E4:E9)</f>
        <v>160</v>
      </c>
      <c r="F10" s="2">
        <f t="shared" si="1"/>
        <v>657</v>
      </c>
      <c r="P10" s="2">
        <f>SUM(P4:P9)</f>
        <v>0.31506849315068491</v>
      </c>
      <c r="Q10" s="2">
        <f>SUM(Q4:Q9)</f>
        <v>0.28614916286149161</v>
      </c>
      <c r="R10" s="2">
        <f>SUM(R4:R9)</f>
        <v>0.15525114155251141</v>
      </c>
      <c r="S10" s="2">
        <f>SUM(S4:S9)</f>
        <v>0.24353120243531201</v>
      </c>
      <c r="T10" s="2">
        <f t="shared" si="3"/>
        <v>0.99999999999999989</v>
      </c>
    </row>
    <row r="11" spans="1:54" s="2" customFormat="1" ht="15" customHeight="1" x14ac:dyDescent="0.35">
      <c r="V11" s="2" t="s">
        <v>15</v>
      </c>
      <c r="AC11" s="2" t="s">
        <v>16</v>
      </c>
      <c r="AJ11" s="2" t="s">
        <v>17</v>
      </c>
    </row>
    <row r="12" spans="1:54" s="2" customFormat="1" ht="15" customHeight="1" x14ac:dyDescent="0.35">
      <c r="A12" s="2" t="s">
        <v>18</v>
      </c>
      <c r="H12" s="2" t="s">
        <v>19</v>
      </c>
      <c r="P12" s="2" t="s">
        <v>20</v>
      </c>
      <c r="W12" s="3" t="str">
        <f>P3</f>
        <v>Apple</v>
      </c>
      <c r="X12" s="3" t="str">
        <f>Q3</f>
        <v>Samsung</v>
      </c>
      <c r="Y12" s="3" t="str">
        <f>R3</f>
        <v>Nokia</v>
      </c>
      <c r="Z12" s="3" t="str">
        <f>S3</f>
        <v>Huawei</v>
      </c>
      <c r="AC12" s="4" t="e">
        <f t="array" aca="1" ref="AC12:AF17" ca="1">MMULT(V4:AA9,MMULT(V23:AA28,V32:Y37))</f>
        <v>#NAME?</v>
      </c>
      <c r="AD12" s="5" t="e">
        <f ca="1"/>
        <v>#NAME?</v>
      </c>
      <c r="AE12" s="5" t="e">
        <f ca="1"/>
        <v>#NAME?</v>
      </c>
      <c r="AF12" s="6" t="e">
        <f ca="1"/>
        <v>#NAME?</v>
      </c>
      <c r="AK12" s="13"/>
      <c r="AL12" s="13"/>
      <c r="AM12" s="13"/>
      <c r="AN12" s="13"/>
      <c r="AO12" s="14" t="s">
        <v>21</v>
      </c>
      <c r="AP12" s="15"/>
      <c r="AQ12" s="15"/>
      <c r="AR12" s="15"/>
      <c r="AS12" s="16"/>
      <c r="AT12" s="14" t="s">
        <v>22</v>
      </c>
      <c r="AU12" s="15"/>
      <c r="AV12" s="15"/>
      <c r="AW12" s="15"/>
      <c r="AX12" s="16"/>
    </row>
    <row r="13" spans="1:54" s="2" customFormat="1" ht="15" customHeight="1" x14ac:dyDescent="0.35">
      <c r="P13" s="4" t="e">
        <f t="array" aca="1" ref="P13:S16" ca="1">DIAGONAL(1/SQRT(P10:S10))</f>
        <v>#NAME?</v>
      </c>
      <c r="Q13" s="5" t="e">
        <f ca="1"/>
        <v>#NAME?</v>
      </c>
      <c r="R13" s="5" t="e">
        <f ca="1"/>
        <v>#NAME?</v>
      </c>
      <c r="S13" s="6" t="e">
        <f ca="1"/>
        <v>#NAME?</v>
      </c>
      <c r="V13" s="2" t="str">
        <f t="shared" ref="V13:V18" si="5">O4</f>
        <v>screen</v>
      </c>
      <c r="W13" s="4" t="e">
        <f t="array" aca="1" ref="W13:Z18" ca="1">MMULT(V4:AA9,MMULT(P4:S9,P13:S16))</f>
        <v>#NAME?</v>
      </c>
      <c r="X13" s="5" t="e">
        <f ca="1"/>
        <v>#NAME?</v>
      </c>
      <c r="Y13" s="5" t="e">
        <f ca="1"/>
        <v>#NAME?</v>
      </c>
      <c r="Z13" s="6" t="e">
        <f ca="1"/>
        <v>#NAME?</v>
      </c>
      <c r="AC13" s="8" t="e">
        <f ca="1"/>
        <v>#NAME?</v>
      </c>
      <c r="AD13" s="2" t="e">
        <f ca="1"/>
        <v>#NAME?</v>
      </c>
      <c r="AE13" s="2" t="e">
        <f ca="1"/>
        <v>#NAME?</v>
      </c>
      <c r="AF13" s="9" t="e">
        <f ca="1"/>
        <v>#NAME?</v>
      </c>
      <c r="AK13" s="17" t="s">
        <v>23</v>
      </c>
      <c r="AL13" s="18" t="s">
        <v>24</v>
      </c>
      <c r="AM13" s="18" t="s">
        <v>25</v>
      </c>
      <c r="AN13" s="18" t="s">
        <v>26</v>
      </c>
      <c r="AO13" s="17" t="s">
        <v>27</v>
      </c>
      <c r="AP13" s="18" t="s">
        <v>28</v>
      </c>
      <c r="AQ13" s="18" t="s">
        <v>29</v>
      </c>
      <c r="AR13" s="18" t="s">
        <v>30</v>
      </c>
      <c r="AS13" s="19" t="s">
        <v>31</v>
      </c>
      <c r="AT13" s="17" t="s">
        <v>27</v>
      </c>
      <c r="AU13" s="18" t="s">
        <v>28</v>
      </c>
      <c r="AV13" s="18" t="s">
        <v>29</v>
      </c>
      <c r="AW13" s="18" t="s">
        <v>30</v>
      </c>
      <c r="AX13" s="19" t="s">
        <v>31</v>
      </c>
      <c r="BA13" s="3" t="s">
        <v>32</v>
      </c>
      <c r="BB13" s="3" t="s">
        <v>33</v>
      </c>
    </row>
    <row r="14" spans="1:54" s="2" customFormat="1" ht="15" thickBot="1" x14ac:dyDescent="0.4">
      <c r="A14" s="2" t="str">
        <f>IF(A3="","",A3)</f>
        <v/>
      </c>
      <c r="B14" s="3" t="str">
        <f t="shared" ref="B14:E14" si="6">IF(B3="","",B3)</f>
        <v>Apple</v>
      </c>
      <c r="C14" s="3" t="str">
        <f t="shared" si="6"/>
        <v>Samsung</v>
      </c>
      <c r="D14" s="3" t="str">
        <f t="shared" si="6"/>
        <v>Nokia</v>
      </c>
      <c r="E14" s="3" t="str">
        <f t="shared" si="6"/>
        <v>Huawei</v>
      </c>
      <c r="F14" s="3" t="s">
        <v>34</v>
      </c>
      <c r="H14" s="2" t="s">
        <v>35</v>
      </c>
      <c r="J14" s="2" t="s">
        <v>36</v>
      </c>
      <c r="K14" s="2">
        <v>0.05</v>
      </c>
      <c r="P14" s="8" t="e">
        <f ca="1"/>
        <v>#NAME?</v>
      </c>
      <c r="Q14" s="2" t="e">
        <f ca="1"/>
        <v>#NAME?</v>
      </c>
      <c r="R14" s="2" t="e">
        <f ca="1"/>
        <v>#NAME?</v>
      </c>
      <c r="S14" s="9" t="e">
        <f ca="1"/>
        <v>#NAME?</v>
      </c>
      <c r="V14" s="2" t="str">
        <f t="shared" si="5"/>
        <v>price</v>
      </c>
      <c r="W14" s="8" t="e">
        <f ca="1"/>
        <v>#NAME?</v>
      </c>
      <c r="X14" s="2" t="e">
        <f ca="1"/>
        <v>#NAME?</v>
      </c>
      <c r="Y14" s="2" t="e">
        <f ca="1"/>
        <v>#NAME?</v>
      </c>
      <c r="Z14" s="9" t="e">
        <f ca="1"/>
        <v>#NAME?</v>
      </c>
      <c r="AC14" s="8" t="e">
        <f ca="1"/>
        <v>#NAME?</v>
      </c>
      <c r="AD14" s="2" t="e">
        <f ca="1"/>
        <v>#NAME?</v>
      </c>
      <c r="AE14" s="2" t="e">
        <f ca="1"/>
        <v>#NAME?</v>
      </c>
      <c r="AF14" s="9" t="e">
        <f ca="1"/>
        <v>#NAME?</v>
      </c>
      <c r="AJ14" s="2" t="str">
        <f>O4</f>
        <v>screen</v>
      </c>
      <c r="AK14" s="4" t="e">
        <f t="shared" ref="AK14:AK19" ca="1" si="7">AP14+AU14</f>
        <v>#NAME?</v>
      </c>
      <c r="AL14" s="5">
        <f>T4</f>
        <v>0.16286149162861491</v>
      </c>
      <c r="AM14" s="5">
        <f t="shared" ref="AM14:AM19" si="8">T30</f>
        <v>9.8877716192090612E-2</v>
      </c>
      <c r="AN14" s="20">
        <f>(AL14*AM14)/AN$20</f>
        <v>6.4383086695105896E-2</v>
      </c>
      <c r="AO14" s="4" t="e">
        <f t="shared" ref="AO14:AO19" ca="1" si="9">AD12</f>
        <v>#NAME?</v>
      </c>
      <c r="AP14" s="21" t="e">
        <f t="shared" ref="AP14:AP19" ca="1" si="10">AO14^2/AM14</f>
        <v>#NAME?</v>
      </c>
      <c r="AQ14" s="21" t="e">
        <f t="shared" ref="AQ14:AQ19" ca="1" si="11">180*ACOS(SQRT(AP14))/PI()</f>
        <v>#NAME?</v>
      </c>
      <c r="AR14" s="21" t="e">
        <f t="shared" ref="AR14:AR19" ca="1" si="12">AL14*AO14^2/$AD$36</f>
        <v>#NAME?</v>
      </c>
      <c r="AS14" s="6" t="e">
        <f t="shared" ref="AS14:AS19" ca="1" si="13">AR14*$AD$36</f>
        <v>#NAME?</v>
      </c>
      <c r="AT14" s="4" t="e">
        <f t="shared" ref="AT14:AT19" ca="1" si="14">AE12</f>
        <v>#NAME?</v>
      </c>
      <c r="AU14" s="21" t="e">
        <f t="shared" ref="AU14:AU19" ca="1" si="15">AT14^2/AM14</f>
        <v>#NAME?</v>
      </c>
      <c r="AV14" s="21" t="e">
        <f t="shared" ref="AV14:AV19" ca="1" si="16">180*ACOS(SQRT(AU14))/PI()</f>
        <v>#NAME?</v>
      </c>
      <c r="AW14" s="21" t="e">
        <f t="shared" ref="AW14:AW19" ca="1" si="17">AT14^2*AL14/$AD$37</f>
        <v>#NAME?</v>
      </c>
      <c r="AX14" s="6" t="e">
        <f t="shared" ref="AX14:AX19" ca="1" si="18">AW14*$AD$37</f>
        <v>#NAME?</v>
      </c>
      <c r="AZ14" s="2" t="s">
        <v>37</v>
      </c>
      <c r="BA14" s="4" t="e">
        <f ca="1">AO14</f>
        <v>#NAME?</v>
      </c>
      <c r="BB14" s="6" t="e">
        <f ca="1">AT14</f>
        <v>#NAME?</v>
      </c>
    </row>
    <row r="15" spans="1:54" s="2" customFormat="1" ht="15" thickTop="1" x14ac:dyDescent="0.35">
      <c r="A15" s="2" t="str">
        <f t="shared" ref="A15:A20" si="19">IF(A4="","",A4)</f>
        <v>screen</v>
      </c>
      <c r="B15" s="22">
        <f t="array" ref="B15:E20">MMULT(F15:F20,B21:E21)/F21</f>
        <v>33.712328767123289</v>
      </c>
      <c r="C15" s="23">
        <v>30.617960426179604</v>
      </c>
      <c r="D15" s="23">
        <v>16.611872146118721</v>
      </c>
      <c r="E15" s="24">
        <v>26.057838660578387</v>
      </c>
      <c r="F15" s="2">
        <f t="shared" ref="F15:F20" si="20">SUM(B4:E4)</f>
        <v>107</v>
      </c>
      <c r="H15" s="30" t="s">
        <v>38</v>
      </c>
      <c r="I15" s="30" t="s">
        <v>39</v>
      </c>
      <c r="J15" s="30" t="s">
        <v>40</v>
      </c>
      <c r="K15" s="30" t="s">
        <v>41</v>
      </c>
      <c r="P15" s="8" t="e">
        <f ca="1"/>
        <v>#NAME?</v>
      </c>
      <c r="Q15" s="2" t="e">
        <f ca="1"/>
        <v>#NAME?</v>
      </c>
      <c r="R15" s="2" t="e">
        <f ca="1"/>
        <v>#NAME?</v>
      </c>
      <c r="S15" s="31" t="e">
        <f ca="1"/>
        <v>#NAME?</v>
      </c>
      <c r="V15" s="2" t="str">
        <f t="shared" si="5"/>
        <v>design</v>
      </c>
      <c r="W15" s="8" t="e">
        <f ca="1"/>
        <v>#NAME?</v>
      </c>
      <c r="X15" s="2" t="e">
        <f ca="1"/>
        <v>#NAME?</v>
      </c>
      <c r="Y15" s="2" t="e">
        <f ca="1"/>
        <v>#NAME?</v>
      </c>
      <c r="Z15" s="31" t="e">
        <f ca="1"/>
        <v>#NAME?</v>
      </c>
      <c r="AC15" s="8" t="e">
        <f ca="1"/>
        <v>#NAME?</v>
      </c>
      <c r="AD15" s="2" t="e">
        <f ca="1"/>
        <v>#NAME?</v>
      </c>
      <c r="AE15" s="2" t="e">
        <f ca="1"/>
        <v>#NAME?</v>
      </c>
      <c r="AF15" s="31" t="e">
        <f ca="1"/>
        <v>#NAME?</v>
      </c>
      <c r="AJ15" s="2" t="str">
        <f t="shared" ref="AJ15:AJ19" si="21">O5</f>
        <v>price</v>
      </c>
      <c r="AK15" s="8" t="e">
        <f t="shared" ca="1" si="7"/>
        <v>#NAME?</v>
      </c>
      <c r="AL15" s="2">
        <f>T5</f>
        <v>0.12633181126331811</v>
      </c>
      <c r="AM15" s="2">
        <f t="shared" si="8"/>
        <v>1.3559976096364563</v>
      </c>
      <c r="AN15" s="32">
        <f t="shared" ref="AN15:AN19" si="22">(AL15*AM15)/AN$20</f>
        <v>0.68489911634542422</v>
      </c>
      <c r="AO15" s="8" t="e">
        <f t="shared" ca="1" si="9"/>
        <v>#NAME?</v>
      </c>
      <c r="AP15" s="33" t="e">
        <f t="shared" ca="1" si="10"/>
        <v>#NAME?</v>
      </c>
      <c r="AQ15" s="33" t="e">
        <f t="shared" ca="1" si="11"/>
        <v>#NAME?</v>
      </c>
      <c r="AR15" s="33" t="e">
        <f t="shared" ca="1" si="12"/>
        <v>#NAME?</v>
      </c>
      <c r="AS15" s="31" t="e">
        <f t="shared" ca="1" si="13"/>
        <v>#NAME?</v>
      </c>
      <c r="AT15" s="8" t="e">
        <f t="shared" ca="1" si="14"/>
        <v>#NAME?</v>
      </c>
      <c r="AU15" s="33" t="e">
        <f t="shared" ca="1" si="15"/>
        <v>#NAME?</v>
      </c>
      <c r="AV15" s="33" t="e">
        <f t="shared" ca="1" si="16"/>
        <v>#NAME?</v>
      </c>
      <c r="AW15" s="33" t="e">
        <f t="shared" ca="1" si="17"/>
        <v>#NAME?</v>
      </c>
      <c r="AX15" s="31" t="e">
        <f t="shared" ca="1" si="18"/>
        <v>#NAME?</v>
      </c>
      <c r="AZ15" s="2" t="s">
        <v>42</v>
      </c>
      <c r="BA15" s="8" t="e">
        <f t="shared" ref="BA15:BA19" ca="1" si="23">AO15</f>
        <v>#NAME?</v>
      </c>
      <c r="BB15" s="31" t="e">
        <f t="shared" ref="BB15:BB19" ca="1" si="24">AT15</f>
        <v>#NAME?</v>
      </c>
    </row>
    <row r="16" spans="1:54" s="2" customFormat="1" x14ac:dyDescent="0.35">
      <c r="A16" s="2" t="str">
        <f t="shared" si="19"/>
        <v>price</v>
      </c>
      <c r="B16" s="25">
        <v>26.150684931506849</v>
      </c>
      <c r="C16" s="2">
        <v>23.750380517503807</v>
      </c>
      <c r="D16" s="2">
        <v>12.885844748858448</v>
      </c>
      <c r="E16" s="26">
        <v>20.213089802130899</v>
      </c>
      <c r="F16" s="2">
        <f t="shared" si="20"/>
        <v>83</v>
      </c>
      <c r="H16" s="2">
        <f>F21</f>
        <v>657</v>
      </c>
      <c r="I16" s="2">
        <f>COUNT(B4:B9)</f>
        <v>6</v>
      </c>
      <c r="J16" s="2">
        <f>COUNT(B4:E4)</f>
        <v>4</v>
      </c>
      <c r="K16" s="2">
        <f>(I16-1)*(J16-1)</f>
        <v>15</v>
      </c>
      <c r="P16" s="34" t="e">
        <f ca="1"/>
        <v>#NAME?</v>
      </c>
      <c r="Q16" s="35" t="e">
        <f ca="1"/>
        <v>#NAME?</v>
      </c>
      <c r="R16" s="35" t="e">
        <f ca="1"/>
        <v>#NAME?</v>
      </c>
      <c r="S16" s="36" t="e">
        <f ca="1"/>
        <v>#NAME?</v>
      </c>
      <c r="V16" s="2" t="str">
        <f t="shared" si="5"/>
        <v>battery</v>
      </c>
      <c r="W16" s="37" t="e">
        <f ca="1"/>
        <v>#NAME?</v>
      </c>
      <c r="X16" s="2" t="e">
        <f ca="1"/>
        <v>#NAME?</v>
      </c>
      <c r="Y16" s="2" t="e">
        <f ca="1"/>
        <v>#NAME?</v>
      </c>
      <c r="Z16" s="31" t="e">
        <f ca="1"/>
        <v>#NAME?</v>
      </c>
      <c r="AC16" s="37" t="e">
        <f ca="1"/>
        <v>#NAME?</v>
      </c>
      <c r="AD16" s="2" t="e">
        <f ca="1"/>
        <v>#NAME?</v>
      </c>
      <c r="AE16" s="2" t="e">
        <f ca="1"/>
        <v>#NAME?</v>
      </c>
      <c r="AF16" s="31" t="e">
        <f ca="1"/>
        <v>#NAME?</v>
      </c>
      <c r="AJ16" s="2" t="str">
        <f t="shared" si="21"/>
        <v>design</v>
      </c>
      <c r="AK16" s="37" t="e">
        <f t="shared" ca="1" si="7"/>
        <v>#NAME?</v>
      </c>
      <c r="AL16" s="2">
        <f>T6</f>
        <v>0.20243531202435311</v>
      </c>
      <c r="AM16" s="2">
        <f t="shared" si="8"/>
        <v>7.4743228764877531E-2</v>
      </c>
      <c r="AN16" s="32">
        <f t="shared" si="22"/>
        <v>6.0494109086312413E-2</v>
      </c>
      <c r="AO16" s="37" t="e">
        <f t="shared" ca="1" si="9"/>
        <v>#NAME?</v>
      </c>
      <c r="AP16" s="33" t="e">
        <f t="shared" ca="1" si="10"/>
        <v>#NAME?</v>
      </c>
      <c r="AQ16" s="33" t="e">
        <f t="shared" ca="1" si="11"/>
        <v>#NAME?</v>
      </c>
      <c r="AR16" s="33" t="e">
        <f t="shared" ca="1" si="12"/>
        <v>#NAME?</v>
      </c>
      <c r="AS16" s="31" t="e">
        <f t="shared" ca="1" si="13"/>
        <v>#NAME?</v>
      </c>
      <c r="AT16" s="37" t="e">
        <f t="shared" ca="1" si="14"/>
        <v>#NAME?</v>
      </c>
      <c r="AU16" s="33" t="e">
        <f t="shared" ca="1" si="15"/>
        <v>#NAME?</v>
      </c>
      <c r="AV16" s="33" t="e">
        <f t="shared" ca="1" si="16"/>
        <v>#NAME?</v>
      </c>
      <c r="AW16" s="33" t="e">
        <f t="shared" ca="1" si="17"/>
        <v>#NAME?</v>
      </c>
      <c r="AX16" s="31" t="e">
        <f t="shared" ca="1" si="18"/>
        <v>#NAME?</v>
      </c>
      <c r="AZ16" s="2" t="s">
        <v>43</v>
      </c>
      <c r="BA16" s="37" t="e">
        <f t="shared" ca="1" si="23"/>
        <v>#NAME?</v>
      </c>
      <c r="BB16" s="31" t="e">
        <f t="shared" ca="1" si="24"/>
        <v>#NAME?</v>
      </c>
    </row>
    <row r="17" spans="1:54" s="2" customFormat="1" x14ac:dyDescent="0.35">
      <c r="A17" s="2" t="str">
        <f t="shared" si="19"/>
        <v>design</v>
      </c>
      <c r="B17" s="25">
        <v>41.904109589041099</v>
      </c>
      <c r="C17" s="2">
        <v>38.057838660578383</v>
      </c>
      <c r="D17" s="2">
        <v>20.648401826484019</v>
      </c>
      <c r="E17" s="26">
        <v>32.389649923896499</v>
      </c>
      <c r="F17" s="2">
        <f t="shared" si="20"/>
        <v>133</v>
      </c>
      <c r="V17" s="2" t="str">
        <f t="shared" si="5"/>
        <v>software</v>
      </c>
      <c r="W17" s="37" t="e">
        <f ca="1"/>
        <v>#NAME?</v>
      </c>
      <c r="X17" s="2" t="e">
        <f ca="1"/>
        <v>#NAME?</v>
      </c>
      <c r="Y17" s="2" t="e">
        <f ca="1"/>
        <v>#NAME?</v>
      </c>
      <c r="Z17" s="31" t="e">
        <f ca="1"/>
        <v>#NAME?</v>
      </c>
      <c r="AC17" s="34" t="e">
        <f ca="1"/>
        <v>#NAME?</v>
      </c>
      <c r="AD17" s="11" t="e">
        <f ca="1"/>
        <v>#NAME?</v>
      </c>
      <c r="AE17" s="11" t="e">
        <f ca="1"/>
        <v>#NAME?</v>
      </c>
      <c r="AF17" s="36" t="e">
        <f ca="1"/>
        <v>#NAME?</v>
      </c>
      <c r="AJ17" s="2" t="str">
        <f t="shared" si="21"/>
        <v>battery</v>
      </c>
      <c r="AK17" s="37" t="e">
        <f t="shared" ca="1" si="7"/>
        <v>#NAME?</v>
      </c>
      <c r="AL17" s="2">
        <f t="shared" ref="AL17:AL19" si="25">T7</f>
        <v>0.15068493150684931</v>
      </c>
      <c r="AM17" s="2">
        <f t="shared" si="8"/>
        <v>7.8358820898563039E-2</v>
      </c>
      <c r="AN17" s="32">
        <f t="shared" si="22"/>
        <v>4.7207682037446776E-2</v>
      </c>
      <c r="AO17" s="37" t="e">
        <f t="shared" ca="1" si="9"/>
        <v>#NAME?</v>
      </c>
      <c r="AP17" s="33" t="e">
        <f t="shared" ca="1" si="10"/>
        <v>#NAME?</v>
      </c>
      <c r="AQ17" s="33" t="e">
        <f t="shared" ca="1" si="11"/>
        <v>#NAME?</v>
      </c>
      <c r="AR17" s="33" t="e">
        <f t="shared" ca="1" si="12"/>
        <v>#NAME?</v>
      </c>
      <c r="AS17" s="31" t="e">
        <f t="shared" ca="1" si="13"/>
        <v>#NAME?</v>
      </c>
      <c r="AT17" s="37" t="e">
        <f t="shared" ca="1" si="14"/>
        <v>#NAME?</v>
      </c>
      <c r="AU17" s="33" t="e">
        <f t="shared" ca="1" si="15"/>
        <v>#NAME?</v>
      </c>
      <c r="AV17" s="33" t="e">
        <f t="shared" ca="1" si="16"/>
        <v>#NAME?</v>
      </c>
      <c r="AW17" s="33" t="e">
        <f t="shared" ca="1" si="17"/>
        <v>#NAME?</v>
      </c>
      <c r="AX17" s="31" t="e">
        <f t="shared" ca="1" si="18"/>
        <v>#NAME?</v>
      </c>
      <c r="AZ17" s="2" t="s">
        <v>44</v>
      </c>
      <c r="BA17" s="37" t="e">
        <f t="shared" ca="1" si="23"/>
        <v>#NAME?</v>
      </c>
      <c r="BB17" s="31" t="e">
        <f t="shared" ca="1" si="24"/>
        <v>#NAME?</v>
      </c>
    </row>
    <row r="18" spans="1:54" s="2" customFormat="1" ht="15" customHeight="1" thickBot="1" x14ac:dyDescent="0.4">
      <c r="A18" s="2" t="str">
        <f t="shared" si="19"/>
        <v>battery</v>
      </c>
      <c r="B18" s="25">
        <v>31.19178082191781</v>
      </c>
      <c r="C18" s="2">
        <v>28.328767123287673</v>
      </c>
      <c r="D18" s="2">
        <v>15.36986301369863</v>
      </c>
      <c r="E18" s="26">
        <v>24.109589041095891</v>
      </c>
      <c r="F18" s="2">
        <f t="shared" si="20"/>
        <v>99</v>
      </c>
      <c r="H18" s="2" t="s">
        <v>45</v>
      </c>
      <c r="P18" s="2">
        <f>SUMPRODUCT((P4:P9/P$10-$T4:$T9)^2/$T4:$T9)</f>
        <v>0.13434157535478899</v>
      </c>
      <c r="Q18" s="2">
        <f t="shared" ref="Q18:S18" si="26">SUMPRODUCT((Q4:Q9/Q$10-$T4:$T9)^2/$T4:$T9)</f>
        <v>0.14826828347892551</v>
      </c>
      <c r="R18" s="2">
        <f t="shared" si="26"/>
        <v>0.94381770361020201</v>
      </c>
      <c r="S18" s="2">
        <f t="shared" si="26"/>
        <v>7.7343826548130656E-2</v>
      </c>
      <c r="V18" s="2" t="str">
        <f t="shared" si="5"/>
        <v>camera</v>
      </c>
      <c r="W18" s="34" t="e">
        <f ca="1"/>
        <v>#NAME?</v>
      </c>
      <c r="X18" s="11" t="e">
        <f ca="1"/>
        <v>#NAME?</v>
      </c>
      <c r="Y18" s="11" t="e">
        <f ca="1"/>
        <v>#NAME?</v>
      </c>
      <c r="Z18" s="36" t="e">
        <f ca="1"/>
        <v>#NAME?</v>
      </c>
      <c r="AJ18" s="2" t="str">
        <f t="shared" si="21"/>
        <v>software</v>
      </c>
      <c r="AK18" s="37" t="e">
        <f t="shared" ca="1" si="7"/>
        <v>#NAME?</v>
      </c>
      <c r="AL18" s="2">
        <f t="shared" si="25"/>
        <v>0.19330289193302891</v>
      </c>
      <c r="AM18" s="2">
        <f t="shared" si="8"/>
        <v>7.1622145159047898E-2</v>
      </c>
      <c r="AN18" s="32">
        <f t="shared" si="22"/>
        <v>5.5352932625780234E-2</v>
      </c>
      <c r="AO18" s="37" t="e">
        <f t="shared" ca="1" si="9"/>
        <v>#NAME?</v>
      </c>
      <c r="AP18" s="33" t="e">
        <f t="shared" ca="1" si="10"/>
        <v>#NAME?</v>
      </c>
      <c r="AQ18" s="33" t="e">
        <f t="shared" ca="1" si="11"/>
        <v>#NAME?</v>
      </c>
      <c r="AR18" s="33" t="e">
        <f t="shared" ca="1" si="12"/>
        <v>#NAME?</v>
      </c>
      <c r="AS18" s="31" t="e">
        <f t="shared" ca="1" si="13"/>
        <v>#NAME?</v>
      </c>
      <c r="AT18" s="37" t="e">
        <f t="shared" ca="1" si="14"/>
        <v>#NAME?</v>
      </c>
      <c r="AU18" s="33" t="e">
        <f t="shared" ca="1" si="15"/>
        <v>#NAME?</v>
      </c>
      <c r="AV18" s="33" t="e">
        <f t="shared" ca="1" si="16"/>
        <v>#NAME?</v>
      </c>
      <c r="AW18" s="33" t="e">
        <f t="shared" ca="1" si="17"/>
        <v>#NAME?</v>
      </c>
      <c r="AX18" s="31" t="e">
        <f t="shared" ca="1" si="18"/>
        <v>#NAME?</v>
      </c>
      <c r="AZ18" s="2" t="s">
        <v>46</v>
      </c>
      <c r="BA18" s="37" t="e">
        <f t="shared" ca="1" si="23"/>
        <v>#NAME?</v>
      </c>
      <c r="BB18" s="31" t="e">
        <f t="shared" ca="1" si="24"/>
        <v>#NAME?</v>
      </c>
    </row>
    <row r="19" spans="1:54" s="2" customFormat="1" ht="15" customHeight="1" thickTop="1" x14ac:dyDescent="0.35">
      <c r="A19" s="2" t="str">
        <f t="shared" si="19"/>
        <v>software</v>
      </c>
      <c r="B19" s="25">
        <v>40.013698630136986</v>
      </c>
      <c r="C19" s="2">
        <v>36.340943683409435</v>
      </c>
      <c r="D19" s="2">
        <v>19.716894977168948</v>
      </c>
      <c r="E19" s="26">
        <v>30.928462709284627</v>
      </c>
      <c r="F19" s="2">
        <f t="shared" si="20"/>
        <v>127</v>
      </c>
      <c r="H19" s="30" t="s">
        <v>47</v>
      </c>
      <c r="I19" s="30" t="s">
        <v>48</v>
      </c>
      <c r="J19" s="30" t="s">
        <v>49</v>
      </c>
      <c r="K19" s="30" t="s">
        <v>50</v>
      </c>
      <c r="L19" s="30" t="s">
        <v>51</v>
      </c>
      <c r="M19" s="30" t="s">
        <v>52</v>
      </c>
      <c r="AC19" s="2" t="s">
        <v>53</v>
      </c>
      <c r="AJ19" s="2" t="str">
        <f t="shared" si="21"/>
        <v>camera</v>
      </c>
      <c r="AK19" s="34" t="e">
        <f t="shared" ca="1" si="7"/>
        <v>#NAME?</v>
      </c>
      <c r="AL19" s="11">
        <f t="shared" si="25"/>
        <v>0.16438356164383561</v>
      </c>
      <c r="AM19" s="11">
        <f t="shared" si="8"/>
        <v>0.13338388005699747</v>
      </c>
      <c r="AN19" s="38">
        <f t="shared" si="22"/>
        <v>8.7663073209930387E-2</v>
      </c>
      <c r="AO19" s="34" t="e">
        <f t="shared" ca="1" si="9"/>
        <v>#NAME?</v>
      </c>
      <c r="AP19" s="39" t="e">
        <f t="shared" ca="1" si="10"/>
        <v>#NAME?</v>
      </c>
      <c r="AQ19" s="39" t="e">
        <f t="shared" ca="1" si="11"/>
        <v>#NAME?</v>
      </c>
      <c r="AR19" s="39" t="e">
        <f t="shared" ca="1" si="12"/>
        <v>#NAME?</v>
      </c>
      <c r="AS19" s="36" t="e">
        <f t="shared" ca="1" si="13"/>
        <v>#NAME?</v>
      </c>
      <c r="AT19" s="34" t="e">
        <f t="shared" ca="1" si="14"/>
        <v>#NAME?</v>
      </c>
      <c r="AU19" s="39" t="e">
        <f t="shared" ca="1" si="15"/>
        <v>#NAME?</v>
      </c>
      <c r="AV19" s="39" t="e">
        <f t="shared" ca="1" si="16"/>
        <v>#NAME?</v>
      </c>
      <c r="AW19" s="39" t="e">
        <f t="shared" ca="1" si="17"/>
        <v>#NAME?</v>
      </c>
      <c r="AX19" s="36" t="e">
        <f t="shared" ca="1" si="18"/>
        <v>#NAME?</v>
      </c>
      <c r="AZ19" s="2" t="s">
        <v>54</v>
      </c>
      <c r="BA19" s="34" t="e">
        <f t="shared" ca="1" si="23"/>
        <v>#NAME?</v>
      </c>
      <c r="BB19" s="36" t="e">
        <f t="shared" ca="1" si="24"/>
        <v>#NAME?</v>
      </c>
    </row>
    <row r="20" spans="1:54" s="2" customFormat="1" ht="15" customHeight="1" x14ac:dyDescent="0.35">
      <c r="A20" s="2" t="str">
        <f t="shared" si="19"/>
        <v>camera</v>
      </c>
      <c r="B20" s="27">
        <v>34.027397260273972</v>
      </c>
      <c r="C20" s="28">
        <v>30.904109589041095</v>
      </c>
      <c r="D20" s="28">
        <v>16.767123287671232</v>
      </c>
      <c r="E20" s="29">
        <v>26.301369863013697</v>
      </c>
      <c r="F20" s="2">
        <f t="shared" si="20"/>
        <v>108</v>
      </c>
      <c r="H20" s="2" t="s">
        <v>55</v>
      </c>
      <c r="I20" s="2" t="e">
        <f ca="1">CHI_STAT2(B4:E9,B15:E20)</f>
        <v>#NAME?</v>
      </c>
      <c r="J20" s="2" t="e">
        <f ca="1">CHIDIST(I20,K16)</f>
        <v>#NAME?</v>
      </c>
      <c r="K20" s="2">
        <f>CHIINV(K14,K16)</f>
        <v>24.99579013972863</v>
      </c>
      <c r="L20" s="3" t="e">
        <f ca="1">IF(K20&lt;I20,"yes","no")</f>
        <v>#NAME?</v>
      </c>
      <c r="M20" s="2" t="e">
        <f ca="1">SQRT(I20/(H16*(MIN(I16,J16)-1)))</f>
        <v>#NAME?</v>
      </c>
      <c r="P20" s="2" t="s">
        <v>56</v>
      </c>
      <c r="AC20" s="4" t="e">
        <f t="array" aca="1" ref="AC20:AH23" ca="1">MMULT(P13:S16,MMULT(V41:Y44,TRANSPOSE(V32:Y37)))</f>
        <v>#NAME?</v>
      </c>
      <c r="AD20" s="40" t="e">
        <f ca="1"/>
        <v>#NAME?</v>
      </c>
      <c r="AE20" s="40" t="e">
        <f ca="1"/>
        <v>#NAME?</v>
      </c>
      <c r="AF20" s="40" t="e">
        <f ca="1"/>
        <v>#NAME?</v>
      </c>
      <c r="AG20" s="40" t="e">
        <f ca="1"/>
        <v>#NAME?</v>
      </c>
      <c r="AH20" s="41" t="e">
        <f ca="1"/>
        <v>#NAME?</v>
      </c>
      <c r="AN20" s="33">
        <f>SUMPRODUCT(AL14:AL19,AM14:AM19)</f>
        <v>0.25011805389409564</v>
      </c>
    </row>
    <row r="21" spans="1:54" s="2" customFormat="1" x14ac:dyDescent="0.35">
      <c r="A21" s="2" t="s">
        <v>34</v>
      </c>
      <c r="B21" s="2">
        <f t="shared" ref="B21:E21" si="27">SUM(B4:B9)</f>
        <v>207</v>
      </c>
      <c r="C21" s="2">
        <f t="shared" si="27"/>
        <v>188</v>
      </c>
      <c r="D21" s="2">
        <f t="shared" si="27"/>
        <v>102</v>
      </c>
      <c r="E21" s="2">
        <f t="shared" si="27"/>
        <v>160</v>
      </c>
      <c r="F21" s="2">
        <f>SUM(F15:F20)</f>
        <v>657</v>
      </c>
      <c r="H21" s="2" t="s">
        <v>57</v>
      </c>
      <c r="I21" s="2" t="e">
        <f ca="1">CHI_MAX2(B4:E9,B15:E20)</f>
        <v>#NAME?</v>
      </c>
      <c r="J21" s="2" t="e">
        <f ca="1">CHIDIST(I21,K16)</f>
        <v>#NAME?</v>
      </c>
      <c r="K21" s="2">
        <f>CHIINV(K14,K16)</f>
        <v>24.99579013972863</v>
      </c>
      <c r="L21" s="3" t="e">
        <f ca="1">IF(K21&lt;I21,"yes","no")</f>
        <v>#NAME?</v>
      </c>
      <c r="M21" s="2" t="e">
        <f ca="1">SQRT(I21/(H16*(MIN(I16,J16)-1)))</f>
        <v>#NAME?</v>
      </c>
      <c r="P21" s="4">
        <f t="shared" ref="P21:S26" si="28">(P4/P$10-$T4)^2/$T4</f>
        <v>7.4994277078052651E-4</v>
      </c>
      <c r="Q21" s="40">
        <f t="shared" si="28"/>
        <v>2.2506402211066482E-2</v>
      </c>
      <c r="R21" s="40">
        <f t="shared" si="28"/>
        <v>5.4525193942965601E-2</v>
      </c>
      <c r="S21" s="41">
        <f t="shared" si="28"/>
        <v>3.9494005071195829E-3</v>
      </c>
      <c r="V21" s="2" t="s">
        <v>58</v>
      </c>
      <c r="AC21" s="37" t="e">
        <f ca="1"/>
        <v>#NAME?</v>
      </c>
      <c r="AD21" s="2" t="e">
        <f ca="1"/>
        <v>#NAME?</v>
      </c>
      <c r="AE21" s="2" t="e">
        <f ca="1"/>
        <v>#NAME?</v>
      </c>
      <c r="AF21" s="2" t="e">
        <f ca="1"/>
        <v>#NAME?</v>
      </c>
      <c r="AG21" s="2" t="e">
        <f ca="1"/>
        <v>#NAME?</v>
      </c>
      <c r="AH21" s="31" t="e">
        <f ca="1"/>
        <v>#NAME?</v>
      </c>
    </row>
    <row r="22" spans="1:54" s="2" customFormat="1" x14ac:dyDescent="0.35">
      <c r="H22" s="40"/>
      <c r="I22" s="40"/>
      <c r="J22" s="40"/>
      <c r="K22" s="40"/>
      <c r="L22" s="40"/>
      <c r="M22" s="40"/>
      <c r="P22" s="37">
        <f t="shared" si="28"/>
        <v>9.900890906852762E-2</v>
      </c>
      <c r="Q22" s="2">
        <f t="shared" si="28"/>
        <v>7.8739336338721572E-2</v>
      </c>
      <c r="R22" s="2">
        <f t="shared" si="28"/>
        <v>0.68996697475465374</v>
      </c>
      <c r="S22" s="31">
        <f t="shared" si="28"/>
        <v>4.2958317287414519E-2</v>
      </c>
      <c r="AC22" s="37" t="e">
        <f ca="1"/>
        <v>#NAME?</v>
      </c>
      <c r="AD22" s="2" t="e">
        <f ca="1"/>
        <v>#NAME?</v>
      </c>
      <c r="AE22" s="2" t="e">
        <f ca="1"/>
        <v>#NAME?</v>
      </c>
      <c r="AF22" s="2" t="e">
        <f ca="1"/>
        <v>#NAME?</v>
      </c>
      <c r="AG22" s="2" t="e">
        <f ca="1"/>
        <v>#NAME?</v>
      </c>
      <c r="AH22" s="31" t="e">
        <f ca="1"/>
        <v>#NAME?</v>
      </c>
      <c r="AJ22" s="2" t="s">
        <v>59</v>
      </c>
    </row>
    <row r="23" spans="1:54" s="2" customFormat="1" x14ac:dyDescent="0.35">
      <c r="H23" s="2" t="s">
        <v>60</v>
      </c>
      <c r="I23" s="42" t="e">
        <f ca="1">I20/F21</f>
        <v>#NAME?</v>
      </c>
      <c r="P23" s="37">
        <f t="shared" si="28"/>
        <v>2.2906464701256464E-2</v>
      </c>
      <c r="Q23" s="2">
        <f t="shared" si="28"/>
        <v>1.1466930795137022E-2</v>
      </c>
      <c r="R23" s="2">
        <f t="shared" si="28"/>
        <v>2.7775045440939568E-2</v>
      </c>
      <c r="S23" s="31">
        <f t="shared" si="28"/>
        <v>1.3148350506689117E-3</v>
      </c>
      <c r="V23" s="22" t="e">
        <f t="array" aca="1" ref="V23:AA28" ca="1">SVD_U(W13:Z18,20)</f>
        <v>#NAME?</v>
      </c>
      <c r="W23" s="23" t="e">
        <f ca="1"/>
        <v>#NAME?</v>
      </c>
      <c r="X23" s="23" t="e">
        <f ca="1"/>
        <v>#NAME?</v>
      </c>
      <c r="Y23" s="23" t="e">
        <f ca="1"/>
        <v>#NAME?</v>
      </c>
      <c r="Z23" s="23" t="e">
        <f ca="1"/>
        <v>#NAME?</v>
      </c>
      <c r="AA23" s="24" t="e">
        <f ca="1"/>
        <v>#NAME?</v>
      </c>
      <c r="AC23" s="34" t="e">
        <f ca="1"/>
        <v>#NAME?</v>
      </c>
      <c r="AD23" s="35" t="e">
        <f ca="1"/>
        <v>#NAME?</v>
      </c>
      <c r="AE23" s="35" t="e">
        <f ca="1"/>
        <v>#NAME?</v>
      </c>
      <c r="AF23" s="35" t="e">
        <f ca="1"/>
        <v>#NAME?</v>
      </c>
      <c r="AG23" s="35" t="e">
        <f ca="1"/>
        <v>#NAME?</v>
      </c>
      <c r="AH23" s="36" t="e">
        <f ca="1"/>
        <v>#NAME?</v>
      </c>
      <c r="AK23" s="13"/>
      <c r="AL23" s="13"/>
      <c r="AM23" s="13"/>
      <c r="AN23" s="13"/>
      <c r="AO23" s="14" t="s">
        <v>21</v>
      </c>
      <c r="AP23" s="15"/>
      <c r="AQ23" s="15"/>
      <c r="AR23" s="15"/>
      <c r="AS23" s="16"/>
      <c r="AT23" s="14" t="s">
        <v>22</v>
      </c>
      <c r="AU23" s="15"/>
      <c r="AV23" s="15"/>
      <c r="AW23" s="15"/>
      <c r="AX23" s="16"/>
    </row>
    <row r="24" spans="1:54" s="2" customFormat="1" x14ac:dyDescent="0.35">
      <c r="P24" s="37">
        <f t="shared" si="28"/>
        <v>2.7213638835463408E-3</v>
      </c>
      <c r="Q24" s="2">
        <f t="shared" si="28"/>
        <v>1.3397938468633068E-3</v>
      </c>
      <c r="R24" s="2">
        <f t="shared" si="28"/>
        <v>4.7507831789957218E-2</v>
      </c>
      <c r="S24" s="31">
        <f t="shared" si="28"/>
        <v>1.3103255370485676E-2</v>
      </c>
      <c r="V24" s="25" t="e">
        <f ca="1"/>
        <v>#NAME?</v>
      </c>
      <c r="W24" s="2" t="e">
        <f ca="1"/>
        <v>#NAME?</v>
      </c>
      <c r="X24" s="2" t="e">
        <f ca="1"/>
        <v>#NAME?</v>
      </c>
      <c r="Y24" s="2" t="e">
        <f ca="1"/>
        <v>#NAME?</v>
      </c>
      <c r="Z24" s="2" t="e">
        <f ca="1"/>
        <v>#NAME?</v>
      </c>
      <c r="AA24" s="26" t="e">
        <f ca="1"/>
        <v>#NAME?</v>
      </c>
      <c r="AK24" s="17" t="s">
        <v>23</v>
      </c>
      <c r="AL24" s="18" t="s">
        <v>24</v>
      </c>
      <c r="AM24" s="18" t="s">
        <v>25</v>
      </c>
      <c r="AN24" s="18" t="s">
        <v>26</v>
      </c>
      <c r="AO24" s="17" t="s">
        <v>27</v>
      </c>
      <c r="AP24" s="18" t="s">
        <v>28</v>
      </c>
      <c r="AQ24" s="18" t="s">
        <v>29</v>
      </c>
      <c r="AR24" s="18" t="s">
        <v>30</v>
      </c>
      <c r="AS24" s="19" t="s">
        <v>31</v>
      </c>
      <c r="AT24" s="17" t="s">
        <v>27</v>
      </c>
      <c r="AU24" s="18" t="s">
        <v>28</v>
      </c>
      <c r="AV24" s="18" t="s">
        <v>29</v>
      </c>
      <c r="AW24" s="18" t="s">
        <v>30</v>
      </c>
      <c r="AX24" s="19" t="s">
        <v>31</v>
      </c>
      <c r="BA24" s="3" t="s">
        <v>32</v>
      </c>
      <c r="BB24" s="3" t="s">
        <v>33</v>
      </c>
    </row>
    <row r="25" spans="1:54" s="2" customFormat="1" ht="16.5" x14ac:dyDescent="0.35">
      <c r="H25" s="2" t="s">
        <v>61</v>
      </c>
      <c r="I25" s="42" t="e">
        <f ca="1">CHI_STAT(B4:E9)</f>
        <v>#NAME?</v>
      </c>
      <c r="P25" s="37">
        <f t="shared" si="28"/>
        <v>7.700383361912224E-3</v>
      </c>
      <c r="Q25" s="2">
        <f t="shared" si="28"/>
        <v>1.7014188797197101E-5</v>
      </c>
      <c r="R25" s="2">
        <f t="shared" si="28"/>
        <v>6.8263158577898997E-2</v>
      </c>
      <c r="S25" s="31">
        <f t="shared" si="28"/>
        <v>3.349951480273017E-3</v>
      </c>
      <c r="V25" s="25" t="e">
        <f ca="1"/>
        <v>#NAME?</v>
      </c>
      <c r="W25" s="2" t="e">
        <f ca="1"/>
        <v>#NAME?</v>
      </c>
      <c r="X25" s="2" t="e">
        <f ca="1"/>
        <v>#NAME?</v>
      </c>
      <c r="Y25" s="2" t="e">
        <f ca="1"/>
        <v>#NAME?</v>
      </c>
      <c r="Z25" s="2" t="e">
        <f ca="1"/>
        <v>#NAME?</v>
      </c>
      <c r="AA25" s="26" t="e">
        <f ca="1"/>
        <v>#NAME?</v>
      </c>
      <c r="AC25" s="2" t="s">
        <v>62</v>
      </c>
      <c r="AJ25" s="2" t="str">
        <f t="array" ref="AJ25:AJ28">TRANSPOSE(P3:S3)</f>
        <v>Apple</v>
      </c>
      <c r="AK25" s="4" t="e">
        <f ca="1">AP25+AU25</f>
        <v>#NAME?</v>
      </c>
      <c r="AL25" s="40">
        <f t="array" ref="AL25:AL28">TRANSPOSE(P10:S10)</f>
        <v>0.31506849315068491</v>
      </c>
      <c r="AM25" s="40">
        <f t="array" ref="AM25:AM28">TRANSPOSE(P27:S27)</f>
        <v>0.13434157535478899</v>
      </c>
      <c r="AN25" s="43">
        <f>(AL25*AM25)/AN$29</f>
        <v>0.16922727910094992</v>
      </c>
      <c r="AO25" s="4" t="e">
        <f ca="1">AD20</f>
        <v>#NAME?</v>
      </c>
      <c r="AP25" s="44" t="e">
        <f ca="1">AO25^2/AM25</f>
        <v>#NAME?</v>
      </c>
      <c r="AQ25" s="44" t="e">
        <f ca="1">180*ACOS(SQRT(AP25))/PI()</f>
        <v>#NAME?</v>
      </c>
      <c r="AR25" s="44" t="e">
        <f ca="1">AL25*AO25^2/$AD$36</f>
        <v>#NAME?</v>
      </c>
      <c r="AS25" s="41" t="e">
        <f ca="1">AR25*$AD$36</f>
        <v>#NAME?</v>
      </c>
      <c r="AT25" s="40" t="e">
        <f ca="1">AE20</f>
        <v>#NAME?</v>
      </c>
      <c r="AU25" s="44" t="e">
        <f ca="1">AT25^2/AM25</f>
        <v>#NAME?</v>
      </c>
      <c r="AV25" s="44" t="e">
        <f ca="1">180*ACOS(SQRT(AU25))/PI()</f>
        <v>#NAME?</v>
      </c>
      <c r="AW25" s="44" t="e">
        <f ca="1">AT25^2*AL25/$AD$37</f>
        <v>#NAME?</v>
      </c>
      <c r="AX25" s="41" t="e">
        <f ca="1">AW25*$AD$37</f>
        <v>#NAME?</v>
      </c>
      <c r="AZ25" s="2" t="s">
        <v>63</v>
      </c>
      <c r="BA25" s="4" t="e">
        <f ca="1">AO25</f>
        <v>#NAME?</v>
      </c>
      <c r="BB25" s="41" t="e">
        <f ca="1">AT25</f>
        <v>#NAME?</v>
      </c>
    </row>
    <row r="26" spans="1:54" s="2" customFormat="1" x14ac:dyDescent="0.35">
      <c r="P26" s="34">
        <f t="shared" si="28"/>
        <v>1.2545115687657973E-3</v>
      </c>
      <c r="Q26" s="35">
        <f t="shared" si="28"/>
        <v>3.4198806098339939E-2</v>
      </c>
      <c r="R26" s="35">
        <f t="shared" si="28"/>
        <v>5.5779499103786906E-2</v>
      </c>
      <c r="S26" s="36">
        <f t="shared" si="28"/>
        <v>1.2668066852168949E-2</v>
      </c>
      <c r="V26" s="25" t="e">
        <f ca="1"/>
        <v>#NAME?</v>
      </c>
      <c r="W26" s="2" t="e">
        <f ca="1"/>
        <v>#NAME?</v>
      </c>
      <c r="X26" s="2" t="e">
        <f ca="1"/>
        <v>#NAME?</v>
      </c>
      <c r="Y26" s="2" t="e">
        <f ca="1"/>
        <v>#NAME?</v>
      </c>
      <c r="Z26" s="2" t="e">
        <f ca="1"/>
        <v>#NAME?</v>
      </c>
      <c r="AA26" s="26" t="e">
        <f ca="1"/>
        <v>#NAME?</v>
      </c>
      <c r="AC26" s="4" t="e">
        <f t="array" aca="1" ref="AC26:AH31" ca="1">MMULT(V32:Y37,TRANSPOSE(V32:Y37))</f>
        <v>#NAME?</v>
      </c>
      <c r="AD26" s="40" t="e">
        <f ca="1"/>
        <v>#NAME?</v>
      </c>
      <c r="AE26" s="40" t="e">
        <f ca="1"/>
        <v>#NAME?</v>
      </c>
      <c r="AF26" s="40" t="e">
        <f ca="1"/>
        <v>#NAME?</v>
      </c>
      <c r="AG26" s="40" t="e">
        <f ca="1"/>
        <v>#NAME?</v>
      </c>
      <c r="AH26" s="41" t="e">
        <f ca="1"/>
        <v>#NAME?</v>
      </c>
      <c r="AJ26" s="2" t="str">
        <v>Samsung</v>
      </c>
      <c r="AK26" s="37" t="e">
        <f ca="1">AP26+AU26</f>
        <v>#NAME?</v>
      </c>
      <c r="AL26" s="2">
        <v>0.28614916286149161</v>
      </c>
      <c r="AM26" s="2">
        <v>0.14826828347892551</v>
      </c>
      <c r="AN26" s="32">
        <f t="shared" ref="AN26:AN28" si="29">(AL26*AM26)/AN$29</f>
        <v>0.1696272801417571</v>
      </c>
      <c r="AO26" s="37" t="e">
        <f ca="1">AD21</f>
        <v>#NAME?</v>
      </c>
      <c r="AP26" s="33" t="e">
        <f ca="1">AO26^2/AM26</f>
        <v>#NAME?</v>
      </c>
      <c r="AQ26" s="33" t="e">
        <f ca="1">180*ACOS(SQRT(AP26))/PI()</f>
        <v>#NAME?</v>
      </c>
      <c r="AR26" s="33" t="e">
        <f ca="1">AL26*AO26^2/$AD$36</f>
        <v>#NAME?</v>
      </c>
      <c r="AS26" s="31" t="e">
        <f ca="1">AR26*$AD$36</f>
        <v>#NAME?</v>
      </c>
      <c r="AT26" s="2" t="e">
        <f ca="1">AE21</f>
        <v>#NAME?</v>
      </c>
      <c r="AU26" s="33" t="e">
        <f ca="1">AT26^2/AM26</f>
        <v>#NAME?</v>
      </c>
      <c r="AV26" s="33" t="e">
        <f ca="1">180*ACOS(SQRT(AU26))/PI()</f>
        <v>#NAME?</v>
      </c>
      <c r="AW26" s="33" t="e">
        <f ca="1">AT26^2*AL26/$AD$37</f>
        <v>#NAME?</v>
      </c>
      <c r="AX26" s="31" t="e">
        <f ca="1">AW26*$AD$37</f>
        <v>#NAME?</v>
      </c>
      <c r="AZ26" s="2" t="s">
        <v>64</v>
      </c>
      <c r="BA26" s="37" t="e">
        <f ca="1">AO26</f>
        <v>#NAME?</v>
      </c>
      <c r="BB26" s="31" t="e">
        <f ca="1">AT26</f>
        <v>#NAME?</v>
      </c>
    </row>
    <row r="27" spans="1:54" s="2" customFormat="1" ht="15" customHeight="1" x14ac:dyDescent="0.35">
      <c r="P27">
        <f>SUM(P21:P26)</f>
        <v>0.13434157535478899</v>
      </c>
      <c r="Q27">
        <f t="shared" ref="Q27:S27" si="30">SUM(Q21:Q26)</f>
        <v>0.14826828347892551</v>
      </c>
      <c r="R27">
        <f t="shared" si="30"/>
        <v>0.94381770361020201</v>
      </c>
      <c r="S27">
        <f t="shared" si="30"/>
        <v>7.7343826548130656E-2</v>
      </c>
      <c r="T27"/>
      <c r="V27" s="25" t="e">
        <f ca="1"/>
        <v>#NAME?</v>
      </c>
      <c r="W27" s="2" t="e">
        <f ca="1"/>
        <v>#NAME?</v>
      </c>
      <c r="X27" s="2" t="e">
        <f ca="1"/>
        <v>#NAME?</v>
      </c>
      <c r="Y27" s="2" t="e">
        <f ca="1"/>
        <v>#NAME?</v>
      </c>
      <c r="Z27" s="2" t="e">
        <f ca="1"/>
        <v>#NAME?</v>
      </c>
      <c r="AA27" s="26" t="e">
        <f ca="1"/>
        <v>#NAME?</v>
      </c>
      <c r="AC27" s="37" t="e">
        <f ca="1"/>
        <v>#NAME?</v>
      </c>
      <c r="AD27" s="2" t="e">
        <f ca="1"/>
        <v>#NAME?</v>
      </c>
      <c r="AE27" s="2" t="e">
        <f ca="1"/>
        <v>#NAME?</v>
      </c>
      <c r="AF27" s="2" t="e">
        <f ca="1"/>
        <v>#NAME?</v>
      </c>
      <c r="AG27" s="2" t="e">
        <f ca="1"/>
        <v>#NAME?</v>
      </c>
      <c r="AH27" s="31" t="e">
        <f ca="1"/>
        <v>#NAME?</v>
      </c>
      <c r="AJ27" s="2" t="str">
        <v>Nokia</v>
      </c>
      <c r="AK27" s="37" t="e">
        <f ca="1">AP27+AU27</f>
        <v>#NAME?</v>
      </c>
      <c r="AL27" s="2">
        <v>0.15525114155251141</v>
      </c>
      <c r="AM27" s="2">
        <v>0.94381770361020201</v>
      </c>
      <c r="AN27" s="32">
        <f t="shared" si="29"/>
        <v>0.58583846156501995</v>
      </c>
      <c r="AO27" s="37" t="e">
        <f ca="1">AD22</f>
        <v>#NAME?</v>
      </c>
      <c r="AP27" s="33" t="e">
        <f ca="1">AO27^2/AM27</f>
        <v>#NAME?</v>
      </c>
      <c r="AQ27" s="33" t="e">
        <f ca="1">180*ACOS(SQRT(AP27))/PI()</f>
        <v>#NAME?</v>
      </c>
      <c r="AR27" s="33" t="e">
        <f ca="1">AL27*AO27^2/$AD$36</f>
        <v>#NAME?</v>
      </c>
      <c r="AS27" s="31" t="e">
        <f ca="1">AR27*$AD$36</f>
        <v>#NAME?</v>
      </c>
      <c r="AT27" s="2" t="e">
        <f ca="1">AE22</f>
        <v>#NAME?</v>
      </c>
      <c r="AU27" s="33" t="e">
        <f ca="1">AT27^2/AM27</f>
        <v>#NAME?</v>
      </c>
      <c r="AV27" s="33" t="e">
        <f ca="1">180*ACOS(SQRT(AU27))/PI()</f>
        <v>#NAME?</v>
      </c>
      <c r="AW27" s="33" t="e">
        <f ca="1">AT27^2*AL27/$AD$37</f>
        <v>#NAME?</v>
      </c>
      <c r="AX27" s="31" t="e">
        <f ca="1">AW27*$AD$37</f>
        <v>#NAME?</v>
      </c>
      <c r="AZ27" s="2" t="s">
        <v>65</v>
      </c>
      <c r="BA27" s="37" t="e">
        <f ca="1">AO27</f>
        <v>#NAME?</v>
      </c>
      <c r="BB27" s="31" t="e">
        <f ca="1">AT27</f>
        <v>#NAME?</v>
      </c>
    </row>
    <row r="28" spans="1:54" s="2" customFormat="1" x14ac:dyDescent="0.35">
      <c r="P28"/>
      <c r="Q28"/>
      <c r="R28"/>
      <c r="S28"/>
      <c r="T28"/>
      <c r="V28" s="27" t="e">
        <f ca="1"/>
        <v>#NAME?</v>
      </c>
      <c r="W28" s="28" t="e">
        <f ca="1"/>
        <v>#NAME?</v>
      </c>
      <c r="X28" s="28" t="e">
        <f ca="1"/>
        <v>#NAME?</v>
      </c>
      <c r="Y28" s="28" t="e">
        <f ca="1"/>
        <v>#NAME?</v>
      </c>
      <c r="Z28" s="28" t="e">
        <f ca="1"/>
        <v>#NAME?</v>
      </c>
      <c r="AA28" s="29" t="e">
        <f ca="1"/>
        <v>#NAME?</v>
      </c>
      <c r="AC28" s="37" t="e">
        <f ca="1"/>
        <v>#NAME?</v>
      </c>
      <c r="AD28" s="2" t="e">
        <f ca="1"/>
        <v>#NAME?</v>
      </c>
      <c r="AE28" s="2" t="e">
        <f ca="1"/>
        <v>#NAME?</v>
      </c>
      <c r="AF28" s="2" t="e">
        <f ca="1"/>
        <v>#NAME?</v>
      </c>
      <c r="AG28" s="2" t="e">
        <f ca="1"/>
        <v>#NAME?</v>
      </c>
      <c r="AH28" s="31" t="e">
        <f ca="1"/>
        <v>#NAME?</v>
      </c>
      <c r="AJ28" s="2" t="str">
        <v>Huawei</v>
      </c>
      <c r="AK28" s="34" t="e">
        <f ca="1">AP28+AU28</f>
        <v>#NAME?</v>
      </c>
      <c r="AL28" s="35">
        <v>0.24353120243531201</v>
      </c>
      <c r="AM28" s="35">
        <v>7.7343826548130656E-2</v>
      </c>
      <c r="AN28" s="38">
        <f t="shared" si="29"/>
        <v>7.5306979192272958E-2</v>
      </c>
      <c r="AO28" s="34" t="e">
        <f ca="1">AD23</f>
        <v>#NAME?</v>
      </c>
      <c r="AP28" s="45" t="e">
        <f ca="1">AO28^2/AM28</f>
        <v>#NAME?</v>
      </c>
      <c r="AQ28" s="45" t="e">
        <f ca="1">180*ACOS(SQRT(AP28))/PI()</f>
        <v>#NAME?</v>
      </c>
      <c r="AR28" s="45" t="e">
        <f ca="1">AL28*AO28^2/$AD$36</f>
        <v>#NAME?</v>
      </c>
      <c r="AS28" s="36" t="e">
        <f ca="1">AR28*$AD$36</f>
        <v>#NAME?</v>
      </c>
      <c r="AT28" s="35" t="e">
        <f ca="1">AE23</f>
        <v>#NAME?</v>
      </c>
      <c r="AU28" s="45" t="e">
        <f ca="1">AT28^2/AM28</f>
        <v>#NAME?</v>
      </c>
      <c r="AV28" s="45" t="e">
        <f ca="1">180*ACOS(SQRT(AU28))/PI()</f>
        <v>#NAME?</v>
      </c>
      <c r="AW28" s="45" t="e">
        <f ca="1">AT28^2*AL28/$AD$37</f>
        <v>#NAME?</v>
      </c>
      <c r="AX28" s="36" t="e">
        <f ca="1">AW28*$AD$37</f>
        <v>#NAME?</v>
      </c>
      <c r="AZ28" s="2" t="s">
        <v>66</v>
      </c>
      <c r="BA28" s="34" t="e">
        <f ca="1">AO28</f>
        <v>#NAME?</v>
      </c>
      <c r="BB28" s="36" t="e">
        <f ca="1">AT28</f>
        <v>#NAME?</v>
      </c>
    </row>
    <row r="29" spans="1:54" s="2" customFormat="1" x14ac:dyDescent="0.35">
      <c r="P29" t="s">
        <v>67</v>
      </c>
      <c r="Q29"/>
      <c r="R29"/>
      <c r="S29"/>
      <c r="T29"/>
      <c r="AC29" s="37" t="e">
        <f ca="1"/>
        <v>#NAME?</v>
      </c>
      <c r="AD29" s="2" t="e">
        <f ca="1"/>
        <v>#NAME?</v>
      </c>
      <c r="AE29" s="2" t="e">
        <f ca="1"/>
        <v>#NAME?</v>
      </c>
      <c r="AF29" s="2" t="e">
        <f ca="1"/>
        <v>#NAME?</v>
      </c>
      <c r="AG29" s="2" t="e">
        <f ca="1"/>
        <v>#NAME?</v>
      </c>
      <c r="AH29" s="31" t="e">
        <f ca="1"/>
        <v>#NAME?</v>
      </c>
      <c r="AN29" s="33">
        <f>SUMPRODUCT(AL25:AL28,AM25:AM28)</f>
        <v>0.25011805389409564</v>
      </c>
    </row>
    <row r="30" spans="1:54" s="2" customFormat="1" x14ac:dyDescent="0.35">
      <c r="P30" s="46">
        <f t="shared" ref="P30:S35" si="31">(P4/$T4-P$10)^2/P$10</f>
        <v>1.4508238649679332E-3</v>
      </c>
      <c r="Q30" s="47">
        <f t="shared" si="31"/>
        <v>3.9543959025051402E-2</v>
      </c>
      <c r="R30" s="47">
        <f t="shared" si="31"/>
        <v>5.1977287683948527E-2</v>
      </c>
      <c r="S30" s="48">
        <f t="shared" si="31"/>
        <v>5.9056456181227476E-3</v>
      </c>
      <c r="T30">
        <f t="shared" ref="T30:T35" si="32">SUM(P30:S30)</f>
        <v>9.8877716192090612E-2</v>
      </c>
      <c r="V30" s="2" t="s">
        <v>68</v>
      </c>
      <c r="AC30" s="37" t="e">
        <f ca="1"/>
        <v>#NAME?</v>
      </c>
      <c r="AD30" s="2" t="e">
        <f ca="1"/>
        <v>#NAME?</v>
      </c>
      <c r="AE30" s="2" t="e">
        <f ca="1"/>
        <v>#NAME?</v>
      </c>
      <c r="AF30" s="2" t="e">
        <f ca="1"/>
        <v>#NAME?</v>
      </c>
      <c r="AG30" s="2" t="e">
        <f ca="1"/>
        <v>#NAME?</v>
      </c>
      <c r="AH30" s="31" t="e">
        <f ca="1"/>
        <v>#NAME?</v>
      </c>
    </row>
    <row r="31" spans="1:54" s="2" customFormat="1" x14ac:dyDescent="0.35">
      <c r="P31" s="49">
        <f t="shared" si="31"/>
        <v>0.24692583346006283</v>
      </c>
      <c r="Q31">
        <f t="shared" si="31"/>
        <v>0.17834934014071874</v>
      </c>
      <c r="R31">
        <f t="shared" si="31"/>
        <v>0.84791122198764679</v>
      </c>
      <c r="S31" s="50">
        <f t="shared" si="31"/>
        <v>8.2811214048027992E-2</v>
      </c>
      <c r="T31">
        <f t="shared" si="32"/>
        <v>1.3559976096364563</v>
      </c>
      <c r="AC31" s="34" t="e">
        <f ca="1"/>
        <v>#NAME?</v>
      </c>
      <c r="AD31" s="35" t="e">
        <f ca="1"/>
        <v>#NAME?</v>
      </c>
      <c r="AE31" s="35" t="e">
        <f ca="1"/>
        <v>#NAME?</v>
      </c>
      <c r="AF31" s="35" t="e">
        <f ca="1"/>
        <v>#NAME?</v>
      </c>
      <c r="AG31" s="35" t="e">
        <f ca="1"/>
        <v>#NAME?</v>
      </c>
      <c r="AH31" s="36" t="e">
        <f ca="1"/>
        <v>#NAME?</v>
      </c>
      <c r="AJ31" s="2" t="s">
        <v>69</v>
      </c>
    </row>
    <row r="32" spans="1:54" s="2" customFormat="1" x14ac:dyDescent="0.35">
      <c r="P32" s="49">
        <f t="shared" si="31"/>
        <v>3.5651414986166079E-2</v>
      </c>
      <c r="Q32">
        <f t="shared" si="31"/>
        <v>1.620889465778768E-2</v>
      </c>
      <c r="R32">
        <f t="shared" si="31"/>
        <v>2.1301162668991246E-2</v>
      </c>
      <c r="S32" s="50">
        <f t="shared" si="31"/>
        <v>1.5817564519325228E-3</v>
      </c>
      <c r="T32">
        <f t="shared" si="32"/>
        <v>7.4743228764877531E-2</v>
      </c>
      <c r="V32" s="22" t="e">
        <f t="array" aca="1" ref="V32:Y37" ca="1">SVD_D(W13:Z18,20)</f>
        <v>#NAME?</v>
      </c>
      <c r="W32" s="23" t="e">
        <f ca="1"/>
        <v>#NAME?</v>
      </c>
      <c r="X32" s="23" t="e">
        <f ca="1"/>
        <v>#NAME?</v>
      </c>
      <c r="Y32" s="24" t="e">
        <f ca="1"/>
        <v>#NAME?</v>
      </c>
      <c r="AK32" s="13"/>
      <c r="AL32" s="13"/>
      <c r="AM32" s="13"/>
      <c r="AN32" s="13"/>
      <c r="AO32" s="14" t="s">
        <v>21</v>
      </c>
      <c r="AP32" s="15"/>
      <c r="AQ32" s="15"/>
      <c r="AR32" s="15"/>
      <c r="AS32" s="16"/>
      <c r="AT32" s="14" t="s">
        <v>22</v>
      </c>
      <c r="AU32" s="15"/>
      <c r="AV32" s="15"/>
      <c r="AW32" s="15"/>
      <c r="AX32" s="16"/>
      <c r="BA32" s="3" t="s">
        <v>32</v>
      </c>
      <c r="BB32" s="3" t="s">
        <v>33</v>
      </c>
    </row>
    <row r="33" spans="14:54" s="2" customFormat="1" x14ac:dyDescent="0.35">
      <c r="P33" s="49">
        <f t="shared" si="31"/>
        <v>5.6901244837787163E-3</v>
      </c>
      <c r="Q33">
        <f t="shared" si="31"/>
        <v>2.5442549819222468E-3</v>
      </c>
      <c r="R33">
        <f t="shared" si="31"/>
        <v>4.8947463056319571E-2</v>
      </c>
      <c r="S33" s="50">
        <f t="shared" si="31"/>
        <v>2.1176978376542508E-2</v>
      </c>
      <c r="T33">
        <f t="shared" si="32"/>
        <v>7.8358820898563039E-2</v>
      </c>
      <c r="V33" s="25" t="e">
        <f ca="1"/>
        <v>#NAME?</v>
      </c>
      <c r="W33" s="2" t="e">
        <f ca="1"/>
        <v>#NAME?</v>
      </c>
      <c r="X33" s="2" t="e">
        <f ca="1"/>
        <v>#NAME?</v>
      </c>
      <c r="Y33" s="26" t="e">
        <f ca="1"/>
        <v>#NAME?</v>
      </c>
      <c r="AC33" s="2" t="s">
        <v>70</v>
      </c>
      <c r="AK33" s="17" t="s">
        <v>23</v>
      </c>
      <c r="AL33" s="18" t="s">
        <v>24</v>
      </c>
      <c r="AM33" s="18" t="s">
        <v>25</v>
      </c>
      <c r="AN33" s="18" t="s">
        <v>26</v>
      </c>
      <c r="AO33" s="17" t="s">
        <v>27</v>
      </c>
      <c r="AP33" s="18" t="s">
        <v>28</v>
      </c>
      <c r="AQ33" s="18" t="s">
        <v>29</v>
      </c>
      <c r="AR33" s="18" t="s">
        <v>30</v>
      </c>
      <c r="AS33" s="19" t="s">
        <v>31</v>
      </c>
      <c r="AT33" s="17" t="s">
        <v>27</v>
      </c>
      <c r="AU33" s="18" t="s">
        <v>28</v>
      </c>
      <c r="AV33" s="18" t="s">
        <v>29</v>
      </c>
      <c r="AW33" s="18" t="s">
        <v>30</v>
      </c>
      <c r="AX33" s="19" t="s">
        <v>31</v>
      </c>
      <c r="AZ33" s="2" t="str">
        <f t="shared" ref="AZ33:BB38" si="33">AZ14</f>
        <v>scr</v>
      </c>
      <c r="BA33" s="4" t="e">
        <f t="shared" ca="1" si="33"/>
        <v>#NAME?</v>
      </c>
      <c r="BB33" s="41" t="e">
        <f t="shared" ca="1" si="33"/>
        <v>#NAME?</v>
      </c>
    </row>
    <row r="34" spans="14:54" s="2" customFormat="1" x14ac:dyDescent="0.35">
      <c r="P34" s="49">
        <f t="shared" si="31"/>
        <v>1.2551018550518345E-2</v>
      </c>
      <c r="Q34">
        <f t="shared" si="31"/>
        <v>2.518635821947291E-5</v>
      </c>
      <c r="R34">
        <f t="shared" si="31"/>
        <v>5.4825528936580291E-2</v>
      </c>
      <c r="S34" s="50">
        <f t="shared" si="31"/>
        <v>4.2204113137297881E-3</v>
      </c>
      <c r="T34">
        <f t="shared" si="32"/>
        <v>7.1622145159047898E-2</v>
      </c>
      <c r="V34" s="25" t="e">
        <f ca="1"/>
        <v>#NAME?</v>
      </c>
      <c r="W34" s="2" t="e">
        <f ca="1"/>
        <v>#NAME?</v>
      </c>
      <c r="X34" s="2" t="e">
        <f ca="1"/>
        <v>#NAME?</v>
      </c>
      <c r="Y34" s="26" t="e">
        <f ca="1"/>
        <v>#NAME?</v>
      </c>
      <c r="AC34"/>
      <c r="AD34"/>
      <c r="AE34"/>
      <c r="AF34"/>
      <c r="AG34"/>
      <c r="AH34"/>
      <c r="AJ34" s="2" t="str">
        <f>AJ25</f>
        <v>Apple</v>
      </c>
      <c r="AK34" s="4" t="e">
        <f ca="1">AP34+AU34</f>
        <v>#NAME?</v>
      </c>
      <c r="AL34" s="40"/>
      <c r="AM34" s="40" t="e">
        <f ca="1">AO49</f>
        <v>#NAME?</v>
      </c>
      <c r="AN34" s="44"/>
      <c r="AO34" s="4" t="e">
        <f ca="1">AS42</f>
        <v>#NAME?</v>
      </c>
      <c r="AP34" s="44" t="e">
        <f ca="1">AO34^2/AM34</f>
        <v>#NAME?</v>
      </c>
      <c r="AQ34" s="44" t="e">
        <f ca="1">180*ACOS(SQRT(AP34))/PI()</f>
        <v>#NAME?</v>
      </c>
      <c r="AR34" s="44"/>
      <c r="AS34" s="41"/>
      <c r="AT34" s="4" t="e">
        <f ca="1">AT42</f>
        <v>#NAME?</v>
      </c>
      <c r="AU34" s="44" t="e">
        <f ca="1">AT34^2/AM34</f>
        <v>#NAME?</v>
      </c>
      <c r="AV34" s="44" t="e">
        <f ca="1">180*ACOS(SQRT(AU34))/PI()</f>
        <v>#NAME?</v>
      </c>
      <c r="AW34" s="44"/>
      <c r="AX34" s="41"/>
      <c r="AZ34" s="2" t="str">
        <f t="shared" si="33"/>
        <v>pri</v>
      </c>
      <c r="BA34" s="37" t="e">
        <f t="shared" ca="1" si="33"/>
        <v>#NAME?</v>
      </c>
      <c r="BB34" s="31" t="e">
        <f t="shared" ca="1" si="33"/>
        <v>#NAME?</v>
      </c>
    </row>
    <row r="35" spans="14:54" x14ac:dyDescent="0.35">
      <c r="N35" s="2"/>
      <c r="P35" s="51">
        <f t="shared" si="31"/>
        <v>2.4044805068011194E-3</v>
      </c>
      <c r="Q35" s="52">
        <f t="shared" si="31"/>
        <v>5.9531255060073229E-2</v>
      </c>
      <c r="R35" s="52">
        <f t="shared" si="31"/>
        <v>5.2680638042465415E-2</v>
      </c>
      <c r="S35" s="53">
        <f t="shared" si="31"/>
        <v>1.8767506447657695E-2</v>
      </c>
      <c r="T35">
        <f t="shared" si="32"/>
        <v>0.13338388005699747</v>
      </c>
      <c r="V35" s="25" t="e">
        <f ca="1"/>
        <v>#NAME?</v>
      </c>
      <c r="W35" s="2" t="e">
        <f ca="1"/>
        <v>#NAME?</v>
      </c>
      <c r="X35" s="2" t="e">
        <f ca="1"/>
        <v>#NAME?</v>
      </c>
      <c r="Y35" s="26" t="e">
        <f ca="1"/>
        <v>#NAME?</v>
      </c>
      <c r="Z35" s="2"/>
      <c r="AA35" s="2"/>
      <c r="AD35" s="54" t="s">
        <v>71</v>
      </c>
      <c r="AE35" s="54" t="s">
        <v>72</v>
      </c>
      <c r="AF35" s="54" t="s">
        <v>73</v>
      </c>
      <c r="AJ35" s="2" t="str">
        <f t="shared" ref="AJ35:AJ37" si="34">AJ26</f>
        <v>Samsung</v>
      </c>
      <c r="AK35" s="37" t="e">
        <f ca="1">AP35+AU35</f>
        <v>#NAME?</v>
      </c>
      <c r="AL35" s="2"/>
      <c r="AM35" s="2" t="e">
        <f ca="1">AO50</f>
        <v>#NAME?</v>
      </c>
      <c r="AN35" s="33"/>
      <c r="AO35" s="37" t="e">
        <f t="shared" ref="AO35:AO37" ca="1" si="35">AS43</f>
        <v>#NAME?</v>
      </c>
      <c r="AP35" s="33" t="e">
        <f ca="1">AO35^2/AM35</f>
        <v>#NAME?</v>
      </c>
      <c r="AQ35" s="33" t="e">
        <f ca="1">180*ACOS(SQRT(AP35))/PI()</f>
        <v>#NAME?</v>
      </c>
      <c r="AR35" s="33"/>
      <c r="AS35" s="31"/>
      <c r="AT35" s="37" t="e">
        <f t="shared" ref="AT35:AT37" ca="1" si="36">AT43</f>
        <v>#NAME?</v>
      </c>
      <c r="AU35" s="33" t="e">
        <f t="shared" ref="AU35:AU37" ca="1" si="37">AT35^2/AM35</f>
        <v>#NAME?</v>
      </c>
      <c r="AV35" s="33" t="e">
        <f t="shared" ref="AV35:AV37" ca="1" si="38">180*ACOS(SQRT(AU35))/PI()</f>
        <v>#NAME?</v>
      </c>
      <c r="AW35" s="33"/>
      <c r="AX35" s="31"/>
      <c r="AZ35" s="2" t="str">
        <f t="shared" si="33"/>
        <v>des</v>
      </c>
      <c r="BA35" s="37" t="e">
        <f t="shared" ca="1" si="33"/>
        <v>#NAME?</v>
      </c>
      <c r="BB35" s="31" t="e">
        <f t="shared" ca="1" si="33"/>
        <v>#NAME?</v>
      </c>
    </row>
    <row r="36" spans="14:54" x14ac:dyDescent="0.35">
      <c r="N36" s="2"/>
      <c r="V36" s="25" t="e">
        <f ca="1"/>
        <v>#NAME?</v>
      </c>
      <c r="W36" s="2" t="e">
        <f ca="1"/>
        <v>#NAME?</v>
      </c>
      <c r="X36" s="2" t="e">
        <f ca="1"/>
        <v>#NAME?</v>
      </c>
      <c r="Y36" s="26" t="e">
        <f ca="1"/>
        <v>#NAME?</v>
      </c>
      <c r="Z36" s="2"/>
      <c r="AA36" s="2"/>
      <c r="AC36">
        <v>1</v>
      </c>
      <c r="AD36" s="46" t="e">
        <f t="array" aca="1" ref="AD36:AD38" ca="1">DIAG(AD27:AF29)</f>
        <v>#NAME?</v>
      </c>
      <c r="AE36" s="55" t="e">
        <f ca="1">AD36/AD$39</f>
        <v>#NAME?</v>
      </c>
      <c r="AF36" s="56" t="e">
        <f ca="1">AE36</f>
        <v>#NAME?</v>
      </c>
      <c r="AJ36" s="2" t="str">
        <f t="shared" si="34"/>
        <v>Nokia</v>
      </c>
      <c r="AK36" s="37" t="e">
        <f ca="1">AP36+AU36</f>
        <v>#NAME?</v>
      </c>
      <c r="AL36" s="2"/>
      <c r="AM36" s="2" t="e">
        <f ca="1">AO51</f>
        <v>#NAME?</v>
      </c>
      <c r="AN36" s="33"/>
      <c r="AO36" s="37" t="e">
        <f t="shared" ca="1" si="35"/>
        <v>#NAME?</v>
      </c>
      <c r="AP36" s="33" t="e">
        <f ca="1">AO36^2/AM36</f>
        <v>#NAME?</v>
      </c>
      <c r="AQ36" s="33" t="e">
        <f ca="1">180*ACOS(SQRT(AP36))/PI()</f>
        <v>#NAME?</v>
      </c>
      <c r="AR36" s="33"/>
      <c r="AS36" s="31"/>
      <c r="AT36" s="37" t="e">
        <f t="shared" ca="1" si="36"/>
        <v>#NAME?</v>
      </c>
      <c r="AU36" s="33" t="e">
        <f t="shared" ca="1" si="37"/>
        <v>#NAME?</v>
      </c>
      <c r="AV36" s="33" t="e">
        <f t="shared" ca="1" si="38"/>
        <v>#NAME?</v>
      </c>
      <c r="AW36" s="33"/>
      <c r="AX36" s="31"/>
      <c r="AZ36" s="2" t="str">
        <f t="shared" si="33"/>
        <v>bat</v>
      </c>
      <c r="BA36" s="37" t="e">
        <f t="shared" ca="1" si="33"/>
        <v>#NAME?</v>
      </c>
      <c r="BB36" s="31" t="e">
        <f t="shared" ca="1" si="33"/>
        <v>#NAME?</v>
      </c>
    </row>
    <row r="37" spans="14:54" x14ac:dyDescent="0.35">
      <c r="V37" s="27" t="e">
        <f ca="1"/>
        <v>#NAME?</v>
      </c>
      <c r="W37" s="28" t="e">
        <f ca="1"/>
        <v>#NAME?</v>
      </c>
      <c r="X37" s="28" t="e">
        <f ca="1"/>
        <v>#NAME?</v>
      </c>
      <c r="Y37" s="29" t="e">
        <f ca="1"/>
        <v>#NAME?</v>
      </c>
      <c r="Z37" s="2"/>
      <c r="AA37" s="2"/>
      <c r="AC37">
        <f>AC36+1</f>
        <v>2</v>
      </c>
      <c r="AD37" s="49" t="e">
        <f ca="1"/>
        <v>#NAME?</v>
      </c>
      <c r="AE37" s="57" t="e">
        <f ca="1">AD37/AD$39</f>
        <v>#NAME?</v>
      </c>
      <c r="AF37" s="58" t="e">
        <f ca="1">AE37+AF36</f>
        <v>#NAME?</v>
      </c>
      <c r="AJ37" s="2" t="str">
        <f t="shared" si="34"/>
        <v>Huawei</v>
      </c>
      <c r="AK37" s="34" t="e">
        <f ca="1">AP37+AU37</f>
        <v>#NAME?</v>
      </c>
      <c r="AL37" s="35"/>
      <c r="AM37" s="35" t="e">
        <f ca="1">AO52</f>
        <v>#NAME?</v>
      </c>
      <c r="AN37" s="45"/>
      <c r="AO37" s="34" t="e">
        <f t="shared" ca="1" si="35"/>
        <v>#NAME?</v>
      </c>
      <c r="AP37" s="45" t="e">
        <f ca="1">AO37^2/AM37</f>
        <v>#NAME?</v>
      </c>
      <c r="AQ37" s="45" t="e">
        <f ca="1">180*ACOS(SQRT(AP37))/PI()</f>
        <v>#NAME?</v>
      </c>
      <c r="AR37" s="45"/>
      <c r="AS37" s="36"/>
      <c r="AT37" s="34" t="e">
        <f t="shared" ca="1" si="36"/>
        <v>#NAME?</v>
      </c>
      <c r="AU37" s="45" t="e">
        <f t="shared" ca="1" si="37"/>
        <v>#NAME?</v>
      </c>
      <c r="AV37" s="45" t="e">
        <f t="shared" ca="1" si="38"/>
        <v>#NAME?</v>
      </c>
      <c r="AW37" s="45"/>
      <c r="AX37" s="36"/>
      <c r="AZ37" s="2" t="str">
        <f t="shared" si="33"/>
        <v>sof</v>
      </c>
      <c r="BA37" s="37" t="e">
        <f t="shared" ca="1" si="33"/>
        <v>#NAME?</v>
      </c>
      <c r="BB37" s="31" t="e">
        <f t="shared" ca="1" si="33"/>
        <v>#NAME?</v>
      </c>
    </row>
    <row r="38" spans="14:54" x14ac:dyDescent="0.35">
      <c r="V38" s="2"/>
      <c r="W38" s="2"/>
      <c r="X38" s="2"/>
      <c r="Y38" s="2"/>
      <c r="Z38" s="2"/>
      <c r="AA38" s="2"/>
      <c r="AC38">
        <f>AC37+1</f>
        <v>3</v>
      </c>
      <c r="AD38" s="51" t="e">
        <f ca="1"/>
        <v>#NAME?</v>
      </c>
      <c r="AE38" s="59" t="e">
        <f ca="1">AD38/AD$39</f>
        <v>#NAME?</v>
      </c>
      <c r="AF38" s="60" t="e">
        <f ca="1">AE38+AF37</f>
        <v>#NAME?</v>
      </c>
      <c r="AZ38" s="2" t="str">
        <f t="shared" si="33"/>
        <v>cam</v>
      </c>
      <c r="BA38" s="37" t="e">
        <f t="shared" ca="1" si="33"/>
        <v>#NAME?</v>
      </c>
      <c r="BB38" s="31" t="e">
        <f t="shared" ca="1" si="33"/>
        <v>#NAME?</v>
      </c>
    </row>
    <row r="39" spans="14:54" x14ac:dyDescent="0.35">
      <c r="V39" s="2" t="s">
        <v>74</v>
      </c>
      <c r="W39" s="2"/>
      <c r="X39" s="2"/>
      <c r="Y39" s="2"/>
      <c r="Z39" s="2"/>
      <c r="AA39" s="2"/>
      <c r="AD39" t="e">
        <f ca="1">SUM(AD36:AD38)</f>
        <v>#NAME?</v>
      </c>
      <c r="AZ39" t="str">
        <f t="shared" ref="AZ39:BB42" si="39">AZ25</f>
        <v>APP</v>
      </c>
      <c r="BA39" s="37" t="e">
        <f t="shared" ca="1" si="39"/>
        <v>#NAME?</v>
      </c>
      <c r="BB39" s="31" t="e">
        <f t="shared" ca="1" si="39"/>
        <v>#NAME?</v>
      </c>
    </row>
    <row r="40" spans="14:54" x14ac:dyDescent="0.35">
      <c r="V40" s="2"/>
      <c r="W40" s="2"/>
      <c r="X40" s="2"/>
      <c r="Y40" s="2"/>
      <c r="Z40" s="2"/>
      <c r="AA40" s="2"/>
      <c r="AJ40" t="s">
        <v>75</v>
      </c>
      <c r="AQ40" s="2" t="s">
        <v>76</v>
      </c>
      <c r="AZ40" t="str">
        <f t="shared" si="39"/>
        <v>SAM</v>
      </c>
      <c r="BA40" s="37" t="e">
        <f t="shared" ca="1" si="39"/>
        <v>#NAME?</v>
      </c>
      <c r="BB40" s="31" t="e">
        <f t="shared" ca="1" si="39"/>
        <v>#NAME?</v>
      </c>
    </row>
    <row r="41" spans="14:54" x14ac:dyDescent="0.35">
      <c r="V41" s="22" t="e">
        <f t="array" aca="1" ref="V41:Y44" ca="1">SVD_V(W13:Z18,20)</f>
        <v>#NAME?</v>
      </c>
      <c r="W41" s="23" t="e">
        <f ca="1"/>
        <v>#NAME?</v>
      </c>
      <c r="X41" s="23" t="e">
        <f ca="1"/>
        <v>#NAME?</v>
      </c>
      <c r="Y41" s="24" t="e">
        <f ca="1"/>
        <v>#NAME?</v>
      </c>
      <c r="Z41" s="2"/>
      <c r="AA41" s="2"/>
      <c r="AD41" t="s">
        <v>77</v>
      </c>
      <c r="AJ41" s="2"/>
      <c r="AK41" s="3" t="s">
        <v>2</v>
      </c>
      <c r="AL41" s="3" t="s">
        <v>3</v>
      </c>
      <c r="AM41" s="3" t="s">
        <v>4</v>
      </c>
      <c r="AN41" s="3" t="s">
        <v>5</v>
      </c>
      <c r="AQ41" s="2"/>
      <c r="AR41" s="3"/>
      <c r="AS41" s="3">
        <v>1</v>
      </c>
      <c r="AT41" s="3">
        <v>2</v>
      </c>
      <c r="AU41" s="3">
        <v>3</v>
      </c>
      <c r="AZ41" t="str">
        <f t="shared" si="39"/>
        <v>NOK</v>
      </c>
      <c r="BA41" s="37" t="e">
        <f t="shared" ca="1" si="39"/>
        <v>#NAME?</v>
      </c>
      <c r="BB41" s="31" t="e">
        <f t="shared" ca="1" si="39"/>
        <v>#NAME?</v>
      </c>
    </row>
    <row r="42" spans="14:54" x14ac:dyDescent="0.35">
      <c r="V42" s="25" t="e">
        <f ca="1"/>
        <v>#NAME?</v>
      </c>
      <c r="W42" s="2" t="e">
        <f ca="1"/>
        <v>#NAME?</v>
      </c>
      <c r="X42" s="2" t="e">
        <f ca="1"/>
        <v>#NAME?</v>
      </c>
      <c r="Y42" s="26" t="e">
        <f ca="1"/>
        <v>#NAME?</v>
      </c>
      <c r="Z42" s="2"/>
      <c r="AA42" s="2"/>
      <c r="AD42" s="61" t="e">
        <f t="array" aca="1" ref="AD42:AD44" ca="1">CAEigen(B4:E9)</f>
        <v>#NAME?</v>
      </c>
      <c r="AJ42" s="2" t="s">
        <v>78</v>
      </c>
      <c r="AK42" s="4" t="e">
        <f t="array" aca="1" ref="AK42:AN45" ca="1">Identity()</f>
        <v>#NAME?</v>
      </c>
      <c r="AL42" s="40" t="e">
        <f ca="1"/>
        <v>#NAME?</v>
      </c>
      <c r="AM42" s="40" t="e">
        <f ca="1"/>
        <v>#NAME?</v>
      </c>
      <c r="AN42" s="41" t="e">
        <f ca="1"/>
        <v>#NAME?</v>
      </c>
      <c r="AO42" t="e">
        <f ca="1">SUM(AK42:AN42)</f>
        <v>#NAME?</v>
      </c>
      <c r="AQ42" s="2" t="s">
        <v>78</v>
      </c>
      <c r="AR42" s="4" t="e">
        <f t="array" aca="1" ref="AR42:AU45" ca="1">MMULT(AK42:AN45,AC20:AF23)/AR46:AU46</f>
        <v>#NAME?</v>
      </c>
      <c r="AS42" s="40" t="e">
        <f ca="1"/>
        <v>#NAME?</v>
      </c>
      <c r="AT42" s="40" t="e">
        <f ca="1"/>
        <v>#NAME?</v>
      </c>
      <c r="AU42" s="41" t="e">
        <f ca="1"/>
        <v>#NAME?</v>
      </c>
      <c r="AZ42" t="str">
        <f t="shared" si="39"/>
        <v>HUA</v>
      </c>
      <c r="BA42" s="34" t="e">
        <f t="shared" ca="1" si="39"/>
        <v>#NAME?</v>
      </c>
      <c r="BB42" s="36" t="e">
        <f t="shared" ca="1" si="39"/>
        <v>#NAME?</v>
      </c>
    </row>
    <row r="43" spans="14:54" x14ac:dyDescent="0.35">
      <c r="V43" s="25" t="e">
        <f ca="1"/>
        <v>#NAME?</v>
      </c>
      <c r="W43" s="2" t="e">
        <f ca="1"/>
        <v>#NAME?</v>
      </c>
      <c r="X43" s="2" t="e">
        <f ca="1"/>
        <v>#NAME?</v>
      </c>
      <c r="Y43" s="26" t="e">
        <f ca="1"/>
        <v>#NAME?</v>
      </c>
      <c r="Z43" s="2"/>
      <c r="AA43" s="2"/>
      <c r="AD43" s="62" t="e">
        <f ca="1"/>
        <v>#NAME?</v>
      </c>
      <c r="AJ43" s="2" t="s">
        <v>79</v>
      </c>
      <c r="AK43" s="37" t="e">
        <f ca="1"/>
        <v>#NAME?</v>
      </c>
      <c r="AL43" s="2" t="e">
        <f ca="1"/>
        <v>#NAME?</v>
      </c>
      <c r="AM43" s="2" t="e">
        <f ca="1"/>
        <v>#NAME?</v>
      </c>
      <c r="AN43" s="31" t="e">
        <f ca="1"/>
        <v>#NAME?</v>
      </c>
      <c r="AO43" t="e">
        <f ca="1">SUM(AK43:AN43)</f>
        <v>#NAME?</v>
      </c>
      <c r="AQ43" s="2" t="s">
        <v>79</v>
      </c>
      <c r="AR43" s="37" t="e">
        <f ca="1"/>
        <v>#NAME?</v>
      </c>
      <c r="AS43" s="2" t="e">
        <f ca="1"/>
        <v>#NAME?</v>
      </c>
      <c r="AT43" s="2" t="e">
        <f ca="1"/>
        <v>#NAME?</v>
      </c>
      <c r="AU43" s="31" t="e">
        <f ca="1"/>
        <v>#NAME?</v>
      </c>
    </row>
    <row r="44" spans="14:54" x14ac:dyDescent="0.35">
      <c r="V44" s="27" t="e">
        <f ca="1"/>
        <v>#NAME?</v>
      </c>
      <c r="W44" s="28" t="e">
        <f ca="1"/>
        <v>#NAME?</v>
      </c>
      <c r="X44" s="28" t="e">
        <f ca="1"/>
        <v>#NAME?</v>
      </c>
      <c r="Y44" s="29" t="e">
        <f ca="1"/>
        <v>#NAME?</v>
      </c>
      <c r="Z44" s="2"/>
      <c r="AA44" s="2"/>
      <c r="AD44" s="63" t="e">
        <f ca="1"/>
        <v>#NAME?</v>
      </c>
      <c r="AJ44" s="2" t="s">
        <v>80</v>
      </c>
      <c r="AK44" s="37" t="e">
        <f ca="1"/>
        <v>#NAME?</v>
      </c>
      <c r="AL44" s="2" t="e">
        <f ca="1"/>
        <v>#NAME?</v>
      </c>
      <c r="AM44" s="2" t="e">
        <f ca="1"/>
        <v>#NAME?</v>
      </c>
      <c r="AN44" s="31" t="e">
        <f ca="1"/>
        <v>#NAME?</v>
      </c>
      <c r="AO44" t="e">
        <f ca="1">SUM(AK44:AN44)</f>
        <v>#NAME?</v>
      </c>
      <c r="AQ44" s="2" t="s">
        <v>80</v>
      </c>
      <c r="AR44" s="37" t="e">
        <f ca="1"/>
        <v>#NAME?</v>
      </c>
      <c r="AS44" s="2" t="e">
        <f ca="1"/>
        <v>#NAME?</v>
      </c>
      <c r="AT44" s="2" t="e">
        <f ca="1"/>
        <v>#NAME?</v>
      </c>
      <c r="AU44" s="31" t="e">
        <f ca="1"/>
        <v>#NAME?</v>
      </c>
    </row>
    <row r="45" spans="14:54" x14ac:dyDescent="0.35">
      <c r="AJ45" s="2" t="s">
        <v>81</v>
      </c>
      <c r="AK45" s="34" t="e">
        <f ca="1"/>
        <v>#NAME?</v>
      </c>
      <c r="AL45" s="35" t="e">
        <f ca="1"/>
        <v>#NAME?</v>
      </c>
      <c r="AM45" s="35" t="e">
        <f ca="1"/>
        <v>#NAME?</v>
      </c>
      <c r="AN45" s="36" t="e">
        <f ca="1"/>
        <v>#NAME?</v>
      </c>
      <c r="AO45" t="e">
        <f ca="1">SUM(AK45:AN45)</f>
        <v>#NAME?</v>
      </c>
      <c r="AQ45" s="2" t="s">
        <v>81</v>
      </c>
      <c r="AR45" s="34" t="e">
        <f ca="1"/>
        <v>#NAME?</v>
      </c>
      <c r="AS45" s="35" t="e">
        <f ca="1"/>
        <v>#NAME?</v>
      </c>
      <c r="AT45" s="35" t="e">
        <f ca="1"/>
        <v>#NAME?</v>
      </c>
      <c r="AU45" s="36" t="e">
        <f ca="1"/>
        <v>#NAME?</v>
      </c>
      <c r="AZ45" s="2"/>
      <c r="BA45" s="3" t="s">
        <v>32</v>
      </c>
      <c r="BB45" s="3" t="s">
        <v>33</v>
      </c>
    </row>
    <row r="46" spans="14:54" x14ac:dyDescent="0.35">
      <c r="AQ46" s="2" t="s">
        <v>82</v>
      </c>
      <c r="AR46" t="e">
        <f t="array" aca="1" ref="AR46:AU46" ca="1">DIAG(V32:Y35)</f>
        <v>#NAME?</v>
      </c>
      <c r="AS46" t="e">
        <f ca="1"/>
        <v>#NAME?</v>
      </c>
      <c r="AT46" t="e">
        <f ca="1"/>
        <v>#NAME?</v>
      </c>
      <c r="AU46" t="e">
        <f ca="1"/>
        <v>#NAME?</v>
      </c>
      <c r="AZ46" s="2" t="s">
        <v>37</v>
      </c>
      <c r="BA46" s="4" t="e">
        <f t="shared" ref="BA46:BB51" ca="1" si="40">BA14</f>
        <v>#NAME?</v>
      </c>
      <c r="BB46" s="41" t="e">
        <f t="shared" ca="1" si="40"/>
        <v>#NAME?</v>
      </c>
    </row>
    <row r="47" spans="14:54" x14ac:dyDescent="0.35">
      <c r="AJ47" s="2" t="s">
        <v>83</v>
      </c>
      <c r="AZ47" s="2" t="s">
        <v>42</v>
      </c>
      <c r="BA47" s="37" t="e">
        <f t="shared" ca="1" si="40"/>
        <v>#NAME?</v>
      </c>
      <c r="BB47" s="31" t="e">
        <f t="shared" ca="1" si="40"/>
        <v>#NAME?</v>
      </c>
    </row>
    <row r="48" spans="14:54" x14ac:dyDescent="0.35">
      <c r="AJ48" s="2"/>
      <c r="AK48" s="3" t="s">
        <v>2</v>
      </c>
      <c r="AL48" s="3" t="s">
        <v>3</v>
      </c>
      <c r="AM48" s="3" t="s">
        <v>4</v>
      </c>
      <c r="AN48" s="3" t="s">
        <v>5</v>
      </c>
      <c r="AR48" t="s">
        <v>7</v>
      </c>
      <c r="AZ48" s="2" t="s">
        <v>43</v>
      </c>
      <c r="BA48" s="37" t="e">
        <f t="shared" ca="1" si="40"/>
        <v>#NAME?</v>
      </c>
      <c r="BB48" s="31" t="e">
        <f t="shared" ca="1" si="40"/>
        <v>#NAME?</v>
      </c>
    </row>
    <row r="49" spans="34:54" x14ac:dyDescent="0.35">
      <c r="AH49" t="e">
        <f t="array" aca="1" ref="AH49" ca="1">SUMPRODUCT((AK42:AN42-AK$53:AN$53)^2/AK$53:AN$53)</f>
        <v>#NAME?</v>
      </c>
      <c r="AJ49" s="2" t="s">
        <v>78</v>
      </c>
      <c r="AK49" s="4" t="e">
        <f t="shared" ref="AK49:AN52" ca="1" si="41">(AK42-AK$53)^2/AK$53</f>
        <v>#NAME?</v>
      </c>
      <c r="AL49" s="40" t="e">
        <f t="shared" ca="1" si="41"/>
        <v>#NAME?</v>
      </c>
      <c r="AM49" s="40" t="e">
        <f t="shared" ca="1" si="41"/>
        <v>#NAME?</v>
      </c>
      <c r="AN49" s="41" t="e">
        <f t="shared" ca="1" si="41"/>
        <v>#NAME?</v>
      </c>
      <c r="AO49" t="e">
        <f ca="1">SUM(AK49:AN49)</f>
        <v>#NAME?</v>
      </c>
      <c r="AR49" s="46" t="e">
        <f t="array" aca="1" ref="AR49:AT52" ca="1">CARowFactors(B4:E9,AK42:AN45)</f>
        <v>#NAME?</v>
      </c>
      <c r="AS49" s="47" t="e">
        <f ca="1"/>
        <v>#NAME?</v>
      </c>
      <c r="AT49" s="48" t="e">
        <f ca="1"/>
        <v>#NAME?</v>
      </c>
      <c r="AZ49" s="2" t="s">
        <v>44</v>
      </c>
      <c r="BA49" s="37" t="e">
        <f t="shared" ca="1" si="40"/>
        <v>#NAME?</v>
      </c>
      <c r="BB49" s="31" t="e">
        <f t="shared" ca="1" si="40"/>
        <v>#NAME?</v>
      </c>
    </row>
    <row r="50" spans="34:54" x14ac:dyDescent="0.35">
      <c r="AH50" t="e">
        <f t="array" aca="1" ref="AH50" ca="1">SUMPRODUCT((AK43:AN43-AK$53:AN$53)^2/AK$53:AN$53)</f>
        <v>#NAME?</v>
      </c>
      <c r="AJ50" s="2" t="s">
        <v>79</v>
      </c>
      <c r="AK50" s="37" t="e">
        <f t="shared" ca="1" si="41"/>
        <v>#NAME?</v>
      </c>
      <c r="AL50" s="2" t="e">
        <f t="shared" ca="1" si="41"/>
        <v>#NAME?</v>
      </c>
      <c r="AM50" s="2" t="e">
        <f t="shared" ca="1" si="41"/>
        <v>#NAME?</v>
      </c>
      <c r="AN50" s="31" t="e">
        <f t="shared" ca="1" si="41"/>
        <v>#NAME?</v>
      </c>
      <c r="AO50" t="e">
        <f t="shared" ref="AO50:AO52" ca="1" si="42">SUM(AK50:AN50)</f>
        <v>#NAME?</v>
      </c>
      <c r="AR50" s="49" t="e">
        <f ca="1"/>
        <v>#NAME?</v>
      </c>
      <c r="AS50" t="e">
        <f ca="1"/>
        <v>#NAME?</v>
      </c>
      <c r="AT50" s="50" t="e">
        <f ca="1"/>
        <v>#NAME?</v>
      </c>
      <c r="AZ50" s="2" t="s">
        <v>46</v>
      </c>
      <c r="BA50" s="37" t="e">
        <f t="shared" ca="1" si="40"/>
        <v>#NAME?</v>
      </c>
      <c r="BB50" s="31" t="e">
        <f t="shared" ca="1" si="40"/>
        <v>#NAME?</v>
      </c>
    </row>
    <row r="51" spans="34:54" x14ac:dyDescent="0.35">
      <c r="AH51" t="e">
        <f t="array" aca="1" ref="AH51" ca="1">SUMPRODUCT((AK44:AN44-AK$53:AN$53)^2/AK$53:AN$53)</f>
        <v>#NAME?</v>
      </c>
      <c r="AJ51" s="2" t="s">
        <v>80</v>
      </c>
      <c r="AK51" s="37" t="e">
        <f t="shared" ca="1" si="41"/>
        <v>#NAME?</v>
      </c>
      <c r="AL51" s="2" t="e">
        <f t="shared" ca="1" si="41"/>
        <v>#NAME?</v>
      </c>
      <c r="AM51" s="2" t="e">
        <f t="shared" ca="1" si="41"/>
        <v>#NAME?</v>
      </c>
      <c r="AN51" s="31" t="e">
        <f t="shared" ca="1" si="41"/>
        <v>#NAME?</v>
      </c>
      <c r="AO51" t="e">
        <f t="shared" ca="1" si="42"/>
        <v>#NAME?</v>
      </c>
      <c r="AR51" s="49" t="e">
        <f ca="1"/>
        <v>#NAME?</v>
      </c>
      <c r="AS51" t="e">
        <f ca="1"/>
        <v>#NAME?</v>
      </c>
      <c r="AT51" s="50" t="e">
        <f ca="1"/>
        <v>#NAME?</v>
      </c>
      <c r="AZ51" s="2" t="s">
        <v>54</v>
      </c>
      <c r="BA51" s="37" t="e">
        <f t="shared" ca="1" si="40"/>
        <v>#NAME?</v>
      </c>
      <c r="BB51" s="31" t="e">
        <f t="shared" ca="1" si="40"/>
        <v>#NAME?</v>
      </c>
    </row>
    <row r="52" spans="34:54" x14ac:dyDescent="0.35">
      <c r="AH52" t="e">
        <f t="array" aca="1" ref="AH52" ca="1">SUMPRODUCT((AK45:AN45-AK$53:AN$53)^2/AK$53:AN$53)</f>
        <v>#NAME?</v>
      </c>
      <c r="AJ52" s="2" t="s">
        <v>81</v>
      </c>
      <c r="AK52" s="34" t="e">
        <f t="shared" ca="1" si="41"/>
        <v>#NAME?</v>
      </c>
      <c r="AL52" s="35" t="e">
        <f t="shared" ca="1" si="41"/>
        <v>#NAME?</v>
      </c>
      <c r="AM52" s="35" t="e">
        <f t="shared" ca="1" si="41"/>
        <v>#NAME?</v>
      </c>
      <c r="AN52" s="36" t="e">
        <f t="shared" ca="1" si="41"/>
        <v>#NAME?</v>
      </c>
      <c r="AO52" t="e">
        <f t="shared" ca="1" si="42"/>
        <v>#NAME?</v>
      </c>
      <c r="AR52" s="51" t="e">
        <f ca="1"/>
        <v>#NAME?</v>
      </c>
      <c r="AS52" s="52" t="e">
        <f ca="1"/>
        <v>#NAME?</v>
      </c>
      <c r="AT52" s="53" t="e">
        <f ca="1"/>
        <v>#NAME?</v>
      </c>
      <c r="AZ52" s="2" t="s">
        <v>78</v>
      </c>
      <c r="BA52" s="37" t="e">
        <f t="shared" ref="BA52:BB55" ca="1" si="43">AS42</f>
        <v>#NAME?</v>
      </c>
      <c r="BB52" s="31" t="e">
        <f t="shared" ca="1" si="43"/>
        <v>#NAME?</v>
      </c>
    </row>
    <row r="53" spans="34:54" x14ac:dyDescent="0.35">
      <c r="AK53">
        <f>P10</f>
        <v>0.31506849315068491</v>
      </c>
      <c r="AL53">
        <f>Q10</f>
        <v>0.28614916286149161</v>
      </c>
      <c r="AM53">
        <f>R10</f>
        <v>0.15525114155251141</v>
      </c>
      <c r="AN53">
        <f>S10</f>
        <v>0.24353120243531201</v>
      </c>
      <c r="AZ53" s="2" t="s">
        <v>79</v>
      </c>
      <c r="BA53" s="37" t="e">
        <f t="shared" ca="1" si="43"/>
        <v>#NAME?</v>
      </c>
      <c r="BB53" s="31" t="e">
        <f t="shared" ca="1" si="43"/>
        <v>#NAME?</v>
      </c>
    </row>
    <row r="54" spans="34:54" x14ac:dyDescent="0.35">
      <c r="AZ54" s="2" t="s">
        <v>80</v>
      </c>
      <c r="BA54" s="37" t="e">
        <f t="shared" ca="1" si="43"/>
        <v>#NAME?</v>
      </c>
      <c r="BB54" s="31" t="e">
        <f t="shared" ca="1" si="43"/>
        <v>#NAME?</v>
      </c>
    </row>
    <row r="55" spans="34:54" x14ac:dyDescent="0.35">
      <c r="AJ55" s="2" t="s">
        <v>84</v>
      </c>
      <c r="AP55" t="s">
        <v>85</v>
      </c>
      <c r="AZ55" s="2" t="s">
        <v>81</v>
      </c>
      <c r="BA55" s="34" t="e">
        <f t="shared" ca="1" si="43"/>
        <v>#NAME?</v>
      </c>
      <c r="BB55" s="36" t="e">
        <f t="shared" ca="1" si="43"/>
        <v>#NAME?</v>
      </c>
    </row>
    <row r="57" spans="34:54" x14ac:dyDescent="0.35">
      <c r="AJ57" s="2"/>
      <c r="AK57" s="3" t="s">
        <v>86</v>
      </c>
      <c r="AL57" s="54" t="s">
        <v>87</v>
      </c>
      <c r="AM57" s="54" t="s">
        <v>88</v>
      </c>
      <c r="AN57" t="s">
        <v>25</v>
      </c>
      <c r="AQ57">
        <v>1</v>
      </c>
      <c r="AR57">
        <v>2</v>
      </c>
      <c r="AS57">
        <v>3</v>
      </c>
    </row>
    <row r="58" spans="34:54" x14ac:dyDescent="0.35">
      <c r="AJ58" s="2" t="s">
        <v>9</v>
      </c>
      <c r="AK58" s="64">
        <v>30</v>
      </c>
      <c r="AL58" s="47">
        <f>AK58/AK$64</f>
        <v>0.16853932584269662</v>
      </c>
      <c r="AM58" s="47">
        <f>T4</f>
        <v>0.16286149162861491</v>
      </c>
      <c r="AN58" s="48">
        <f>(AL58-AM58)^2/AM58</f>
        <v>1.9794612612360931E-4</v>
      </c>
      <c r="AP58" t="s">
        <v>86</v>
      </c>
      <c r="AQ58" s="65" t="e">
        <f t="array" aca="1" ref="AQ58:AS58" ca="1">MMULT(TRANSPOSE(AL58:AL63),AD12:AF17)/AS46:AU46</f>
        <v>#NAME?</v>
      </c>
      <c r="AR58" s="66" t="e">
        <f ca="1"/>
        <v>#NAME?</v>
      </c>
      <c r="AS58" s="67" t="e">
        <f ca="1"/>
        <v>#NAME?</v>
      </c>
    </row>
    <row r="59" spans="34:54" x14ac:dyDescent="0.35">
      <c r="AJ59" s="2" t="s">
        <v>10</v>
      </c>
      <c r="AK59" s="68">
        <v>32</v>
      </c>
      <c r="AL59">
        <f t="shared" ref="AL59:AL63" si="44">AK59/AK$64</f>
        <v>0.1797752808988764</v>
      </c>
      <c r="AM59">
        <f t="shared" ref="AM59:AM63" si="45">T5</f>
        <v>0.12633181126331811</v>
      </c>
      <c r="AN59" s="50">
        <f t="shared" ref="AN59:AN63" si="46">(AL59-AM59)^2/AM59</f>
        <v>2.2608750861123551E-2</v>
      </c>
    </row>
    <row r="60" spans="34:54" x14ac:dyDescent="0.35">
      <c r="AJ60" s="2" t="s">
        <v>11</v>
      </c>
      <c r="AK60" s="68">
        <v>30</v>
      </c>
      <c r="AL60">
        <f t="shared" si="44"/>
        <v>0.16853932584269662</v>
      </c>
      <c r="AM60">
        <f t="shared" si="45"/>
        <v>0.20243531202435311</v>
      </c>
      <c r="AN60" s="50">
        <f t="shared" si="46"/>
        <v>5.675580350768197E-3</v>
      </c>
      <c r="AQ60" t="s">
        <v>8</v>
      </c>
    </row>
    <row r="61" spans="34:54" x14ac:dyDescent="0.35">
      <c r="AJ61" s="2" t="s">
        <v>12</v>
      </c>
      <c r="AK61" s="68">
        <v>30</v>
      </c>
      <c r="AL61">
        <f t="shared" si="44"/>
        <v>0.16853932584269662</v>
      </c>
      <c r="AM61">
        <f t="shared" si="45"/>
        <v>0.15068493150684931</v>
      </c>
      <c r="AN61" s="50">
        <f t="shared" si="46"/>
        <v>2.1155359989359444E-3</v>
      </c>
      <c r="AQ61" s="65" t="e">
        <f t="array" aca="1" ref="AQ61:AS61" ca="1">CAColFactors(B4:E9,AK58:AK63)</f>
        <v>#NAME?</v>
      </c>
      <c r="AR61" s="66" t="e">
        <f ca="1"/>
        <v>#NAME?</v>
      </c>
      <c r="AS61" s="67" t="e">
        <f ca="1"/>
        <v>#NAME?</v>
      </c>
      <c r="AU61" s="2"/>
      <c r="AV61" s="3" t="s">
        <v>32</v>
      </c>
      <c r="AW61" s="3" t="s">
        <v>33</v>
      </c>
    </row>
    <row r="62" spans="34:54" x14ac:dyDescent="0.35">
      <c r="AJ62" s="2" t="s">
        <v>13</v>
      </c>
      <c r="AK62" s="68">
        <v>30</v>
      </c>
      <c r="AL62">
        <f t="shared" si="44"/>
        <v>0.16853932584269662</v>
      </c>
      <c r="AM62">
        <f t="shared" si="45"/>
        <v>0.19330289193302891</v>
      </c>
      <c r="AN62" s="50">
        <f t="shared" si="46"/>
        <v>3.1724005749625005E-3</v>
      </c>
      <c r="AU62" s="2" t="s">
        <v>63</v>
      </c>
      <c r="AV62" s="4" t="e">
        <f ca="1">BA25</f>
        <v>#NAME?</v>
      </c>
      <c r="AW62" s="41" t="e">
        <f ca="1">BB25</f>
        <v>#NAME?</v>
      </c>
    </row>
    <row r="63" spans="34:54" x14ac:dyDescent="0.35">
      <c r="AJ63" s="2" t="s">
        <v>14</v>
      </c>
      <c r="AK63" s="69">
        <v>26</v>
      </c>
      <c r="AL63" s="52">
        <f t="shared" si="44"/>
        <v>0.14606741573033707</v>
      </c>
      <c r="AM63" s="52">
        <f t="shared" si="45"/>
        <v>0.16438356164383561</v>
      </c>
      <c r="AN63" s="53">
        <f t="shared" si="46"/>
        <v>2.0408439735077949E-3</v>
      </c>
      <c r="AU63" s="2" t="s">
        <v>64</v>
      </c>
      <c r="AV63" s="37" t="e">
        <f t="shared" ref="AV63:AW65" ca="1" si="47">BA26</f>
        <v>#NAME?</v>
      </c>
      <c r="AW63" s="31" t="e">
        <f t="shared" ca="1" si="47"/>
        <v>#NAME?</v>
      </c>
    </row>
    <row r="64" spans="34:54" x14ac:dyDescent="0.35">
      <c r="AJ64" s="2"/>
      <c r="AK64" s="3">
        <f>SUM(AK58:AK63)</f>
        <v>178</v>
      </c>
      <c r="AL64" s="2">
        <f>SUM(AL58:AL63)</f>
        <v>0.99999999999999989</v>
      </c>
      <c r="AM64" s="2">
        <f>SUM(AM58:AM63)</f>
        <v>1</v>
      </c>
      <c r="AN64" s="2">
        <f>SUM(AN58:AN63)</f>
        <v>3.5811057885421597E-2</v>
      </c>
      <c r="AU64" s="2" t="s">
        <v>65</v>
      </c>
      <c r="AV64" s="37" t="e">
        <f t="shared" ca="1" si="47"/>
        <v>#NAME?</v>
      </c>
      <c r="AW64" s="31" t="e">
        <f t="shared" ca="1" si="47"/>
        <v>#NAME?</v>
      </c>
    </row>
    <row r="65" spans="36:49" x14ac:dyDescent="0.35">
      <c r="AU65" s="2" t="s">
        <v>66</v>
      </c>
      <c r="AV65" s="37" t="e">
        <f t="shared" ca="1" si="47"/>
        <v>#NAME?</v>
      </c>
      <c r="AW65" s="31" t="e">
        <f t="shared" ca="1" si="47"/>
        <v>#NAME?</v>
      </c>
    </row>
    <row r="66" spans="36:49" x14ac:dyDescent="0.35">
      <c r="AJ66" s="2" t="s">
        <v>89</v>
      </c>
      <c r="AU66" s="2" t="s">
        <v>86</v>
      </c>
      <c r="AV66" s="34" t="e">
        <f ca="1">AQ58</f>
        <v>#NAME?</v>
      </c>
      <c r="AW66" s="36" t="e">
        <f ca="1">AR58</f>
        <v>#NAME?</v>
      </c>
    </row>
    <row r="67" spans="36:49" x14ac:dyDescent="0.35">
      <c r="AK67" s="2"/>
      <c r="AL67" s="2"/>
      <c r="AM67" s="2"/>
      <c r="AN67" s="2"/>
      <c r="AO67" s="2"/>
      <c r="AP67" s="2"/>
      <c r="AQ67" s="2"/>
      <c r="AT67" s="2"/>
      <c r="AU67" s="2"/>
      <c r="AV67" s="2"/>
    </row>
    <row r="68" spans="36:49" x14ac:dyDescent="0.35">
      <c r="AJ68" s="2"/>
      <c r="AK68" s="13"/>
      <c r="AL68" s="13"/>
      <c r="AM68" s="14" t="s">
        <v>21</v>
      </c>
      <c r="AN68" s="15"/>
      <c r="AO68" s="16"/>
      <c r="AP68" s="14" t="s">
        <v>22</v>
      </c>
      <c r="AQ68" s="15"/>
      <c r="AR68" s="16"/>
    </row>
    <row r="69" spans="36:49" x14ac:dyDescent="0.35">
      <c r="AJ69" s="2"/>
      <c r="AK69" s="17" t="s">
        <v>23</v>
      </c>
      <c r="AL69" s="18" t="s">
        <v>25</v>
      </c>
      <c r="AM69" s="17" t="s">
        <v>27</v>
      </c>
      <c r="AN69" s="18" t="s">
        <v>28</v>
      </c>
      <c r="AO69" s="18" t="s">
        <v>29</v>
      </c>
      <c r="AP69" s="17" t="s">
        <v>27</v>
      </c>
      <c r="AQ69" s="18" t="s">
        <v>28</v>
      </c>
      <c r="AR69" s="19" t="s">
        <v>29</v>
      </c>
    </row>
    <row r="70" spans="36:49" x14ac:dyDescent="0.35">
      <c r="AJ70" s="2" t="s">
        <v>86</v>
      </c>
      <c r="AK70" s="70" t="e">
        <f ca="1">AN70+AQ70</f>
        <v>#NAME?</v>
      </c>
      <c r="AL70" s="71">
        <f>AN64</f>
        <v>3.5811057885421597E-2</v>
      </c>
      <c r="AM70" s="70" t="e">
        <f ca="1">AQ58</f>
        <v>#NAME?</v>
      </c>
      <c r="AN70" s="72" t="e">
        <f ca="1">AM70^2/AL70</f>
        <v>#NAME?</v>
      </c>
      <c r="AO70" s="72" t="e">
        <f ca="1">180*ACOS(SQRT(AN70))/PI()</f>
        <v>#NAME?</v>
      </c>
      <c r="AP70" s="70" t="e">
        <f ca="1">AR58</f>
        <v>#NAME?</v>
      </c>
      <c r="AQ70" s="72" t="e">
        <f ca="1">AP70^2/AL70</f>
        <v>#NAME?</v>
      </c>
      <c r="AR70" s="73" t="e">
        <f ca="1">180*ACOS(SQRT(AQ70))/PI()</f>
        <v>#NAME?</v>
      </c>
    </row>
    <row r="71" spans="36:49" x14ac:dyDescent="0.35">
      <c r="AN71" s="13"/>
    </row>
    <row r="72" spans="36:49" x14ac:dyDescent="0.35">
      <c r="AL72">
        <f>SUMPRODUCT((AK58:AK63/SUM(AK58:AK63)-AM58:AM63)^2/AM58:AM63)</f>
        <v>3.5811057885421597E-2</v>
      </c>
    </row>
  </sheetData>
  <mergeCells count="8">
    <mergeCell ref="AM68:AO68"/>
    <mergeCell ref="AP68:AR68"/>
    <mergeCell ref="AO12:AS12"/>
    <mergeCell ref="AT12:AX12"/>
    <mergeCell ref="AO23:AS23"/>
    <mergeCell ref="AT23:AX23"/>
    <mergeCell ref="AO32:AS32"/>
    <mergeCell ref="AT32:AX3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CA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2025-10-28T16:18:31Z</dcterms:created>
  <dcterms:modified xsi:type="dcterms:W3CDTF">2025-10-28T16:21:22Z</dcterms:modified>
</cp:coreProperties>
</file>