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7" documentId="8_{33EAEA14-5E3B-4AAB-A514-7FDDC61262FF}" xr6:coauthVersionLast="47" xr6:coauthVersionMax="47" xr10:uidLastSave="{72461EF5-C850-4F0F-82F7-E6FDD7C9BDF2}"/>
  <bookViews>
    <workbookView xWindow="-110" yWindow="-110" windowWidth="19420" windowHeight="10300" xr2:uid="{941E09BB-7DAC-49AD-A297-478B644FCC1D}"/>
  </bookViews>
  <sheets>
    <sheet name="Title" sheetId="5" r:id="rId1"/>
    <sheet name="PReg 1" sheetId="1" r:id="rId2"/>
    <sheet name="PReg 2" sheetId="6" r:id="rId3"/>
    <sheet name="PReg 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3" l="1" a="1"/>
  <c r="N9" i="3" s="1"/>
  <c r="M4" i="3"/>
  <c r="L4" i="3"/>
  <c r="T14" i="3" s="1" a="1"/>
  <c r="T14" i="3" s="1"/>
  <c r="K3" i="3" a="1"/>
  <c r="P4" i="3" s="1"/>
  <c r="V15" i="6"/>
  <c r="V14" i="6"/>
  <c r="M11" i="6" a="1"/>
  <c r="P15" i="6" s="1"/>
  <c r="M3" i="6" a="1"/>
  <c r="S6" i="6" s="1"/>
  <c r="J23" i="1" a="1"/>
  <c r="J26" i="1" s="1"/>
  <c r="B35" i="1"/>
  <c r="B31" i="1"/>
  <c r="B34" i="1"/>
  <c r="B33" i="1"/>
  <c r="B32" i="1"/>
  <c r="I17" i="1"/>
  <c r="P3" i="6" l="1"/>
  <c r="K5" i="3"/>
  <c r="R4" i="6"/>
  <c r="L3" i="3"/>
  <c r="L5" i="3"/>
  <c r="S4" i="6"/>
  <c r="M3" i="3"/>
  <c r="M5" i="3"/>
  <c r="M5" i="6"/>
  <c r="N3" i="3"/>
  <c r="N5" i="3"/>
  <c r="N5" i="6"/>
  <c r="O3" i="3"/>
  <c r="O5" i="3"/>
  <c r="N4" i="3"/>
  <c r="Q3" i="6"/>
  <c r="Q4" i="3"/>
  <c r="Q4" i="6"/>
  <c r="O5" i="6"/>
  <c r="P3" i="3"/>
  <c r="P5" i="3"/>
  <c r="M7" i="6"/>
  <c r="R6" i="6"/>
  <c r="Q3" i="3"/>
  <c r="Q5" i="3"/>
  <c r="O3" i="6"/>
  <c r="K4" i="3"/>
  <c r="M9" i="3"/>
  <c r="M14" i="6"/>
  <c r="N14" i="6"/>
  <c r="O14" i="6"/>
  <c r="N10" i="3"/>
  <c r="M10" i="3"/>
  <c r="L10" i="3"/>
  <c r="P11" i="3"/>
  <c r="O11" i="3"/>
  <c r="Q9" i="3"/>
  <c r="N11" i="3"/>
  <c r="P9" i="3"/>
  <c r="M11" i="3"/>
  <c r="O9" i="3"/>
  <c r="Q11" i="3"/>
  <c r="K10" i="3"/>
  <c r="K9" i="3"/>
  <c r="O15" i="6"/>
  <c r="Q13" i="6"/>
  <c r="S11" i="6"/>
  <c r="N15" i="6"/>
  <c r="P13" i="6"/>
  <c r="R11" i="6"/>
  <c r="M15" i="6"/>
  <c r="Q11" i="6"/>
  <c r="S14" i="6"/>
  <c r="N13" i="6"/>
  <c r="P11" i="6"/>
  <c r="R14" i="6"/>
  <c r="O11" i="6"/>
  <c r="Q14" i="6"/>
  <c r="S12" i="6"/>
  <c r="N11" i="6"/>
  <c r="P14" i="6"/>
  <c r="R12" i="6"/>
  <c r="O13" i="6"/>
  <c r="M13" i="6"/>
  <c r="M11" i="6"/>
  <c r="Q15" i="6"/>
  <c r="L9" i="3"/>
  <c r="M12" i="6"/>
  <c r="R15" i="6"/>
  <c r="N12" i="6"/>
  <c r="S15" i="6"/>
  <c r="O12" i="6"/>
  <c r="O10" i="3"/>
  <c r="P12" i="6"/>
  <c r="P10" i="3"/>
  <c r="S7" i="6"/>
  <c r="N6" i="6"/>
  <c r="P4" i="6"/>
  <c r="R7" i="6"/>
  <c r="O4" i="6"/>
  <c r="S5" i="6"/>
  <c r="P7" i="6"/>
  <c r="R5" i="6"/>
  <c r="M4" i="6"/>
  <c r="S3" i="6"/>
  <c r="N7" i="6"/>
  <c r="R3" i="6"/>
  <c r="M6" i="6"/>
  <c r="Q7" i="6"/>
  <c r="N4" i="6"/>
  <c r="O7" i="6"/>
  <c r="Q5" i="6"/>
  <c r="P5" i="6"/>
  <c r="O6" i="6"/>
  <c r="Q12" i="6"/>
  <c r="Q10" i="3"/>
  <c r="M3" i="6"/>
  <c r="P6" i="6"/>
  <c r="R13" i="6"/>
  <c r="K11" i="3"/>
  <c r="N3" i="6"/>
  <c r="Q6" i="6"/>
  <c r="S13" i="6"/>
  <c r="L11" i="3"/>
  <c r="J24" i="1"/>
  <c r="J23" i="1"/>
  <c r="J25" i="1"/>
  <c r="O4" i="3"/>
  <c r="K3" i="3"/>
  <c r="AS24" i="1" a="1"/>
  <c r="AS34" i="1" s="1"/>
  <c r="BE17" i="1" a="1"/>
  <c r="BF17" i="1" s="1"/>
  <c r="AV17" i="1" a="1"/>
  <c r="AV17" i="1" s="1"/>
  <c r="AP17" i="1"/>
  <c r="BE16" i="1" a="1"/>
  <c r="AV16" i="1" a="1"/>
  <c r="AY16" i="1" s="1"/>
  <c r="AP16" i="1"/>
  <c r="AP13" i="1" a="1"/>
  <c r="AP15" i="1" s="1"/>
  <c r="BE12" i="1" a="1"/>
  <c r="AV12" i="1" a="1"/>
  <c r="AW13" i="1" s="1"/>
  <c r="BA10" i="1"/>
  <c r="AR10" i="1"/>
  <c r="AL10" i="1"/>
  <c r="AE19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4" i="6"/>
  <c r="V7" i="6"/>
  <c r="V21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K6" i="6"/>
  <c r="J6" i="6"/>
  <c r="I6" i="6"/>
  <c r="K5" i="6"/>
  <c r="J5" i="6"/>
  <c r="I5" i="6"/>
  <c r="K4" i="6"/>
  <c r="J4" i="6"/>
  <c r="I4" i="6"/>
  <c r="U4" i="1"/>
  <c r="T4" i="1"/>
  <c r="N9" i="1"/>
  <c r="T21" i="3"/>
  <c r="I18" i="3"/>
  <c r="H18" i="3"/>
  <c r="AA18" i="3" s="1"/>
  <c r="G18" i="3"/>
  <c r="I17" i="3"/>
  <c r="H17" i="3"/>
  <c r="AA17" i="3" s="1"/>
  <c r="G17" i="3"/>
  <c r="I16" i="3"/>
  <c r="H16" i="3"/>
  <c r="AA16" i="3" s="1"/>
  <c r="G16" i="3"/>
  <c r="AA15" i="3"/>
  <c r="I15" i="3"/>
  <c r="H15" i="3"/>
  <c r="G15" i="3"/>
  <c r="I14" i="3"/>
  <c r="H14" i="3"/>
  <c r="AA14" i="3" s="1"/>
  <c r="G14" i="3"/>
  <c r="AA13" i="3"/>
  <c r="I13" i="3"/>
  <c r="H13" i="3"/>
  <c r="G13" i="3"/>
  <c r="AA12" i="3"/>
  <c r="I12" i="3"/>
  <c r="H12" i="3"/>
  <c r="G12" i="3"/>
  <c r="AA11" i="3"/>
  <c r="I11" i="3"/>
  <c r="H11" i="3"/>
  <c r="G11" i="3"/>
  <c r="I10" i="3"/>
  <c r="H10" i="3"/>
  <c r="AA10" i="3" s="1"/>
  <c r="G10" i="3"/>
  <c r="I9" i="3"/>
  <c r="H9" i="3"/>
  <c r="AA9" i="3" s="1"/>
  <c r="G9" i="3"/>
  <c r="AA8" i="3"/>
  <c r="I8" i="3"/>
  <c r="H8" i="3"/>
  <c r="G8" i="3"/>
  <c r="I7" i="3"/>
  <c r="H7" i="3"/>
  <c r="AA7" i="3" s="1"/>
  <c r="G7" i="3"/>
  <c r="I6" i="3"/>
  <c r="H6" i="3"/>
  <c r="AA6" i="3" s="1"/>
  <c r="G6" i="3"/>
  <c r="I5" i="3"/>
  <c r="H5" i="3"/>
  <c r="AA5" i="3" s="1"/>
  <c r="G5" i="3"/>
  <c r="AA4" i="3"/>
  <c r="I4" i="3"/>
  <c r="H4" i="3"/>
  <c r="G4" i="3"/>
  <c r="Q23" i="1" a="1"/>
  <c r="Q24" i="1" s="1"/>
  <c r="B19" i="1"/>
  <c r="A19" i="1"/>
  <c r="AD18" i="1"/>
  <c r="T18" i="1"/>
  <c r="K18" i="1"/>
  <c r="J18" i="1"/>
  <c r="U18" i="1" s="1"/>
  <c r="I18" i="1"/>
  <c r="P18" i="1" s="1"/>
  <c r="AD17" i="1"/>
  <c r="P17" i="1"/>
  <c r="K17" i="1"/>
  <c r="J17" i="1"/>
  <c r="U17" i="1" s="1"/>
  <c r="P16" i="1"/>
  <c r="K16" i="1"/>
  <c r="J16" i="1"/>
  <c r="T16" i="1" s="1"/>
  <c r="I16" i="1"/>
  <c r="K15" i="1"/>
  <c r="J15" i="1"/>
  <c r="AD15" i="1" s="1"/>
  <c r="I15" i="1"/>
  <c r="P15" i="1" s="1"/>
  <c r="AD14" i="1"/>
  <c r="T14" i="1"/>
  <c r="S14" i="1"/>
  <c r="K14" i="1"/>
  <c r="J14" i="1"/>
  <c r="U14" i="1" s="1"/>
  <c r="I14" i="1"/>
  <c r="P14" i="1" s="1"/>
  <c r="K13" i="1"/>
  <c r="J13" i="1"/>
  <c r="U13" i="1" s="1"/>
  <c r="I13" i="1"/>
  <c r="P13" i="1" s="1"/>
  <c r="P12" i="1"/>
  <c r="K12" i="1"/>
  <c r="J12" i="1"/>
  <c r="I12" i="1"/>
  <c r="P11" i="1"/>
  <c r="AI11" i="1" s="1"/>
  <c r="K11" i="1"/>
  <c r="J11" i="1"/>
  <c r="U11" i="1" s="1"/>
  <c r="I11" i="1"/>
  <c r="P10" i="1"/>
  <c r="AI10" i="1" s="1"/>
  <c r="K10" i="1"/>
  <c r="J10" i="1"/>
  <c r="I10" i="1"/>
  <c r="P9" i="1"/>
  <c r="AI9" i="1" s="1"/>
  <c r="K9" i="1"/>
  <c r="J9" i="1"/>
  <c r="U9" i="1" s="1"/>
  <c r="I9" i="1"/>
  <c r="AP8" i="1"/>
  <c r="AD8" i="1"/>
  <c r="U8" i="1"/>
  <c r="T8" i="1"/>
  <c r="S8" i="1"/>
  <c r="K8" i="1"/>
  <c r="J8" i="1"/>
  <c r="I8" i="1"/>
  <c r="P8" i="1" s="1"/>
  <c r="AP7" i="1"/>
  <c r="AU8" i="1" s="1"/>
  <c r="P7" i="1"/>
  <c r="K7" i="1"/>
  <c r="J7" i="1"/>
  <c r="U7" i="1" s="1"/>
  <c r="I7" i="1"/>
  <c r="AP6" i="1"/>
  <c r="S6" i="1"/>
  <c r="Q6" i="1"/>
  <c r="P6" i="1"/>
  <c r="AI6" i="1" s="1"/>
  <c r="K6" i="1"/>
  <c r="J6" i="1"/>
  <c r="W6" i="1" s="1"/>
  <c r="I6" i="1"/>
  <c r="AP5" i="1"/>
  <c r="N5" i="1"/>
  <c r="AB19" i="1" s="1"/>
  <c r="K5" i="1"/>
  <c r="J5" i="1"/>
  <c r="AD5" i="1" s="1"/>
  <c r="I5" i="1"/>
  <c r="P5" i="1" s="1"/>
  <c r="AP4" i="1"/>
  <c r="S4" i="1"/>
  <c r="Q4" i="1"/>
  <c r="P4" i="1"/>
  <c r="AI4" i="1" s="1"/>
  <c r="N4" i="1"/>
  <c r="N6" i="1" s="1"/>
  <c r="K4" i="1"/>
  <c r="K19" i="1" s="1"/>
  <c r="J4" i="1"/>
  <c r="AD4" i="1" s="1"/>
  <c r="I4" i="1"/>
  <c r="W13" i="3" l="1"/>
  <c r="AY17" i="1"/>
  <c r="AW17" i="1"/>
  <c r="AX17" i="1"/>
  <c r="AY15" i="1"/>
  <c r="AV16" i="1"/>
  <c r="R26" i="1"/>
  <c r="AY12" i="1"/>
  <c r="AW16" i="1"/>
  <c r="AV13" i="1"/>
  <c r="AX16" i="1"/>
  <c r="AX13" i="1"/>
  <c r="AY13" i="1"/>
  <c r="AV14" i="1"/>
  <c r="AW14" i="1"/>
  <c r="BE15" i="1"/>
  <c r="BE12" i="1"/>
  <c r="BF14" i="1"/>
  <c r="BE14" i="1"/>
  <c r="BH13" i="1"/>
  <c r="BE13" i="1"/>
  <c r="BG13" i="1"/>
  <c r="BF13" i="1"/>
  <c r="BH16" i="1"/>
  <c r="BG16" i="1"/>
  <c r="BF16" i="1"/>
  <c r="BH14" i="1"/>
  <c r="BE16" i="1"/>
  <c r="AS25" i="1"/>
  <c r="BF15" i="1"/>
  <c r="AS26" i="1"/>
  <c r="BE17" i="1"/>
  <c r="BF12" i="1"/>
  <c r="BG12" i="1"/>
  <c r="BH12" i="1"/>
  <c r="BG14" i="1"/>
  <c r="BG15" i="1"/>
  <c r="AS27" i="1"/>
  <c r="BH15" i="1"/>
  <c r="AS36" i="1"/>
  <c r="AS24" i="1"/>
  <c r="AS35" i="1"/>
  <c r="AS33" i="1"/>
  <c r="AS32" i="1"/>
  <c r="AS31" i="1"/>
  <c r="AS30" i="1"/>
  <c r="AS29" i="1"/>
  <c r="AS28" i="1"/>
  <c r="AS37" i="1"/>
  <c r="AS38" i="1"/>
  <c r="BH17" i="1"/>
  <c r="BG17" i="1"/>
  <c r="AX14" i="1"/>
  <c r="AP13" i="1"/>
  <c r="AY14" i="1"/>
  <c r="AP14" i="1"/>
  <c r="AV12" i="1"/>
  <c r="AV15" i="1"/>
  <c r="R23" i="1"/>
  <c r="AW12" i="1"/>
  <c r="AW15" i="1"/>
  <c r="R24" i="1"/>
  <c r="S24" i="1" s="1"/>
  <c r="T24" i="1" s="1"/>
  <c r="AX12" i="1"/>
  <c r="AX15" i="1"/>
  <c r="Q25" i="1"/>
  <c r="Q31" i="1" s="1"/>
  <c r="Q23" i="1"/>
  <c r="Q29" i="1" s="1"/>
  <c r="R25" i="1"/>
  <c r="U25" i="1" s="1"/>
  <c r="Y6" i="1"/>
  <c r="X6" i="1"/>
  <c r="AI7" i="1"/>
  <c r="AI12" i="1"/>
  <c r="AI16" i="1"/>
  <c r="Q18" i="1"/>
  <c r="AI18" i="1"/>
  <c r="AI8" i="1"/>
  <c r="Q8" i="1"/>
  <c r="W10" i="1"/>
  <c r="AI15" i="1"/>
  <c r="Q15" i="1"/>
  <c r="AI17" i="1"/>
  <c r="W8" i="1"/>
  <c r="AI5" i="1"/>
  <c r="Q5" i="1"/>
  <c r="AI14" i="1"/>
  <c r="Q14" i="1"/>
  <c r="Q13" i="1"/>
  <c r="AI13" i="1"/>
  <c r="U5" i="1"/>
  <c r="U15" i="1"/>
  <c r="R4" i="1"/>
  <c r="W5" i="1"/>
  <c r="R6" i="1"/>
  <c r="Q10" i="1"/>
  <c r="Q12" i="1"/>
  <c r="W15" i="1"/>
  <c r="Q17" i="1"/>
  <c r="S19" i="1"/>
  <c r="T6" i="1"/>
  <c r="AD6" i="1"/>
  <c r="Q7" i="1"/>
  <c r="Q9" i="1"/>
  <c r="S10" i="1"/>
  <c r="Q11" i="1"/>
  <c r="S12" i="1"/>
  <c r="Q16" i="1"/>
  <c r="S17" i="1"/>
  <c r="J19" i="1"/>
  <c r="N11" i="1" s="1"/>
  <c r="AE4" i="1"/>
  <c r="U6" i="1"/>
  <c r="AE6" i="1"/>
  <c r="T10" i="1"/>
  <c r="AD10" i="1"/>
  <c r="T12" i="1"/>
  <c r="AD12" i="1"/>
  <c r="S13" i="1"/>
  <c r="T17" i="1"/>
  <c r="W4" i="1"/>
  <c r="S7" i="1"/>
  <c r="S9" i="1"/>
  <c r="U10" i="1"/>
  <c r="S11" i="1"/>
  <c r="U12" i="1"/>
  <c r="T13" i="1"/>
  <c r="AD13" i="1"/>
  <c r="S16" i="1"/>
  <c r="AD16" i="1"/>
  <c r="AA19" i="3"/>
  <c r="T15" i="3" s="1"/>
  <c r="S5" i="1"/>
  <c r="T7" i="1"/>
  <c r="AD7" i="1"/>
  <c r="T9" i="1"/>
  <c r="AD9" i="1"/>
  <c r="T11" i="1"/>
  <c r="AD11" i="1"/>
  <c r="S15" i="1"/>
  <c r="Q30" i="1"/>
  <c r="T5" i="1"/>
  <c r="T15" i="1"/>
  <c r="W16" i="1"/>
  <c r="U16" i="1"/>
  <c r="S18" i="1"/>
  <c r="Q26" i="1"/>
  <c r="T7" i="3"/>
  <c r="W17" i="1" l="1"/>
  <c r="X17" i="1" s="1"/>
  <c r="F23" i="1" a="1"/>
  <c r="X24" i="1" a="1"/>
  <c r="Z24" i="1" s="1"/>
  <c r="AB18" i="3"/>
  <c r="AJ18" i="3" s="1"/>
  <c r="B28" i="3"/>
  <c r="O9" i="6"/>
  <c r="T8" i="3"/>
  <c r="T17" i="3" s="1"/>
  <c r="AF14" i="6"/>
  <c r="AF12" i="6"/>
  <c r="AF9" i="6"/>
  <c r="AF15" i="6"/>
  <c r="AF4" i="6"/>
  <c r="AF7" i="6"/>
  <c r="AF13" i="6"/>
  <c r="AF6" i="6"/>
  <c r="AF16" i="6"/>
  <c r="AF18" i="6"/>
  <c r="AF5" i="6"/>
  <c r="AF11" i="6"/>
  <c r="AF17" i="6"/>
  <c r="AF8" i="6"/>
  <c r="AF10" i="6"/>
  <c r="V8" i="6"/>
  <c r="V18" i="6" s="1"/>
  <c r="X13" i="3"/>
  <c r="AB17" i="3"/>
  <c r="AJ17" i="3" s="1"/>
  <c r="AB15" i="3"/>
  <c r="AJ15" i="3" s="1"/>
  <c r="AB6" i="3"/>
  <c r="AJ6" i="3" s="1"/>
  <c r="U24" i="1"/>
  <c r="S23" i="1"/>
  <c r="T23" i="1" s="1"/>
  <c r="M7" i="3"/>
  <c r="U23" i="1"/>
  <c r="AB5" i="3"/>
  <c r="AJ5" i="3" s="1"/>
  <c r="AB16" i="3"/>
  <c r="AJ16" i="3" s="1"/>
  <c r="AB14" i="3"/>
  <c r="AJ14" i="3" s="1"/>
  <c r="AB13" i="3"/>
  <c r="AB7" i="3"/>
  <c r="AJ7" i="3" s="1"/>
  <c r="AB9" i="3"/>
  <c r="AB4" i="3"/>
  <c r="AH4" i="3" s="1" a="1"/>
  <c r="AB12" i="3"/>
  <c r="AC12" i="3" s="1"/>
  <c r="V24" i="1"/>
  <c r="AB11" i="3"/>
  <c r="AJ11" i="3" s="1"/>
  <c r="AB10" i="3"/>
  <c r="AB8" i="3"/>
  <c r="U26" i="1"/>
  <c r="Q32" i="1"/>
  <c r="S26" i="1"/>
  <c r="T26" i="1" s="1"/>
  <c r="V26" i="1"/>
  <c r="Z26" i="1"/>
  <c r="AA27" i="1"/>
  <c r="AA25" i="1"/>
  <c r="Z27" i="1"/>
  <c r="Z25" i="1"/>
  <c r="X27" i="1"/>
  <c r="AA24" i="1"/>
  <c r="Y24" i="1"/>
  <c r="AA26" i="1"/>
  <c r="X5" i="1"/>
  <c r="Y5" i="1"/>
  <c r="R14" i="1"/>
  <c r="W14" i="1"/>
  <c r="AE14" i="1"/>
  <c r="Q19" i="1"/>
  <c r="Y4" i="1"/>
  <c r="X4" i="1"/>
  <c r="AE7" i="1"/>
  <c r="R7" i="1"/>
  <c r="X10" i="1"/>
  <c r="Y10" i="1"/>
  <c r="W13" i="1"/>
  <c r="AE13" i="1"/>
  <c r="R13" i="1"/>
  <c r="AE12" i="1"/>
  <c r="R12" i="1"/>
  <c r="W7" i="1"/>
  <c r="W12" i="1"/>
  <c r="R5" i="1"/>
  <c r="AE5" i="1"/>
  <c r="R8" i="1"/>
  <c r="AE8" i="1"/>
  <c r="AE17" i="1"/>
  <c r="R17" i="1"/>
  <c r="R10" i="1"/>
  <c r="AE10" i="1"/>
  <c r="AE11" i="1"/>
  <c r="R11" i="1"/>
  <c r="W11" i="1"/>
  <c r="V25" i="1"/>
  <c r="Y8" i="1"/>
  <c r="X8" i="1"/>
  <c r="Y16" i="1"/>
  <c r="X16" i="1"/>
  <c r="U19" i="1"/>
  <c r="N13" i="1" s="1"/>
  <c r="T19" i="1"/>
  <c r="N15" i="1" s="1"/>
  <c r="X15" i="1"/>
  <c r="Y15" i="1"/>
  <c r="AE16" i="1"/>
  <c r="R16" i="1"/>
  <c r="AE9" i="1"/>
  <c r="R9" i="1"/>
  <c r="W9" i="1"/>
  <c r="S25" i="1"/>
  <c r="T25" i="1" s="1"/>
  <c r="V23" i="1"/>
  <c r="R15" i="1"/>
  <c r="AE15" i="1"/>
  <c r="AE18" i="1"/>
  <c r="R18" i="1"/>
  <c r="W18" i="1"/>
  <c r="AL4" i="6" l="1" a="1"/>
  <c r="Y4" i="6" a="1"/>
  <c r="AH18" i="3"/>
  <c r="AH6" i="3"/>
  <c r="AH17" i="3"/>
  <c r="AH14" i="3"/>
  <c r="AH13" i="3"/>
  <c r="AH12" i="3"/>
  <c r="AH5" i="3"/>
  <c r="AH16" i="3"/>
  <c r="AH4" i="3"/>
  <c r="AH15" i="3"/>
  <c r="AH9" i="3"/>
  <c r="AH8" i="3"/>
  <c r="AH7" i="3"/>
  <c r="AH11" i="3"/>
  <c r="AH10" i="3"/>
  <c r="Y17" i="1"/>
  <c r="X25" i="1"/>
  <c r="Y26" i="1"/>
  <c r="X26" i="1"/>
  <c r="G23" i="1"/>
  <c r="I25" i="1"/>
  <c r="H25" i="1"/>
  <c r="G25" i="1"/>
  <c r="F25" i="1"/>
  <c r="I24" i="1"/>
  <c r="H24" i="1"/>
  <c r="G24" i="1"/>
  <c r="F24" i="1"/>
  <c r="I26" i="1"/>
  <c r="I23" i="1"/>
  <c r="H26" i="1"/>
  <c r="H23" i="1"/>
  <c r="G26" i="1"/>
  <c r="F26" i="1"/>
  <c r="F23" i="1"/>
  <c r="Y25" i="1"/>
  <c r="X24" i="1"/>
  <c r="R19" i="1"/>
  <c r="N14" i="1" s="1"/>
  <c r="N16" i="1" s="1"/>
  <c r="Y27" i="1"/>
  <c r="AC18" i="3"/>
  <c r="AE18" i="3" s="1"/>
  <c r="T18" i="3"/>
  <c r="AH19" i="3"/>
  <c r="T9" i="3"/>
  <c r="X14" i="3" s="1"/>
  <c r="AG16" i="6"/>
  <c r="AN16" i="6"/>
  <c r="AN9" i="6"/>
  <c r="AG9" i="6"/>
  <c r="AG7" i="6"/>
  <c r="AN7" i="6"/>
  <c r="AN15" i="6"/>
  <c r="AG15" i="6"/>
  <c r="AN8" i="6"/>
  <c r="AG8" i="6"/>
  <c r="AN17" i="6"/>
  <c r="AG17" i="6"/>
  <c r="AG14" i="6"/>
  <c r="AN14" i="6"/>
  <c r="AN4" i="6"/>
  <c r="AG4" i="6"/>
  <c r="AF19" i="6"/>
  <c r="V13" i="6" s="1"/>
  <c r="V16" i="6" s="1"/>
  <c r="AG12" i="6"/>
  <c r="AN12" i="6"/>
  <c r="AG11" i="6"/>
  <c r="AN11" i="6"/>
  <c r="W4" i="3" a="1"/>
  <c r="AN13" i="6"/>
  <c r="AG13" i="6"/>
  <c r="AN5" i="6"/>
  <c r="AG5" i="6"/>
  <c r="AN6" i="6"/>
  <c r="AG6" i="6"/>
  <c r="V17" i="6"/>
  <c r="AL19" i="6"/>
  <c r="V9" i="6"/>
  <c r="W14" i="3" s="1"/>
  <c r="AN10" i="6"/>
  <c r="AG10" i="6"/>
  <c r="AC17" i="3"/>
  <c r="AE17" i="3" s="1"/>
  <c r="AN18" i="6"/>
  <c r="AG18" i="6"/>
  <c r="AC5" i="3"/>
  <c r="AD5" i="3" s="1"/>
  <c r="AJ12" i="3"/>
  <c r="AC15" i="3"/>
  <c r="AE15" i="3" s="1"/>
  <c r="AC6" i="3"/>
  <c r="AD6" i="3" s="1"/>
  <c r="AC14" i="3"/>
  <c r="AD14" i="3" s="1"/>
  <c r="AC11" i="3"/>
  <c r="AE11" i="3" s="1"/>
  <c r="Y13" i="3"/>
  <c r="AC16" i="3"/>
  <c r="AJ8" i="3"/>
  <c r="AC8" i="3"/>
  <c r="AJ10" i="3"/>
  <c r="AC10" i="3"/>
  <c r="AJ13" i="3"/>
  <c r="AC13" i="3"/>
  <c r="AC7" i="3"/>
  <c r="AD7" i="3" s="1"/>
  <c r="AB19" i="3"/>
  <c r="T13" i="3" s="1"/>
  <c r="T16" i="3" s="1"/>
  <c r="AJ4" i="3"/>
  <c r="AC4" i="3"/>
  <c r="AJ9" i="3"/>
  <c r="AC9" i="3"/>
  <c r="Y7" i="1"/>
  <c r="X7" i="1"/>
  <c r="AE12" i="3"/>
  <c r="AD12" i="3"/>
  <c r="X18" i="1"/>
  <c r="Y18" i="1"/>
  <c r="X12" i="1"/>
  <c r="Y12" i="1"/>
  <c r="Y14" i="1"/>
  <c r="X14" i="1"/>
  <c r="Y9" i="1"/>
  <c r="X9" i="1"/>
  <c r="Y11" i="1"/>
  <c r="X11" i="1"/>
  <c r="Y13" i="1"/>
  <c r="X13" i="1"/>
  <c r="W19" i="1"/>
  <c r="X19" i="1"/>
  <c r="AO14" i="6" l="1" a="1"/>
  <c r="AO14" i="6" s="1"/>
  <c r="AO5" i="6" a="1"/>
  <c r="AO5" i="6" s="1"/>
  <c r="AO18" i="6" a="1"/>
  <c r="AO18" i="6" s="1"/>
  <c r="AO11" i="6" a="1"/>
  <c r="AO11" i="6" s="1"/>
  <c r="AO8" i="6" a="1"/>
  <c r="AO8" i="6" s="1"/>
  <c r="AO6" i="6" a="1"/>
  <c r="AO6" i="6" s="1"/>
  <c r="AO9" i="6" a="1"/>
  <c r="AO9" i="6" s="1"/>
  <c r="AO16" i="6" a="1"/>
  <c r="AO16" i="6" s="1"/>
  <c r="AQ16" i="6" s="1"/>
  <c r="AO13" i="6" a="1"/>
  <c r="AO13" i="6" s="1"/>
  <c r="AQ13" i="6" s="1"/>
  <c r="AO10" i="6" a="1"/>
  <c r="AO10" i="6" s="1"/>
  <c r="AQ10" i="6" s="1"/>
  <c r="AO15" i="6" a="1"/>
  <c r="AO15" i="6" s="1"/>
  <c r="AO7" i="6" a="1"/>
  <c r="AO7" i="6" s="1"/>
  <c r="AQ7" i="6" s="1"/>
  <c r="AA6" i="6"/>
  <c r="Y6" i="6"/>
  <c r="AB5" i="6"/>
  <c r="AA5" i="6"/>
  <c r="Z5" i="6"/>
  <c r="Z6" i="6"/>
  <c r="Z7" i="6"/>
  <c r="Y7" i="6"/>
  <c r="AB6" i="6"/>
  <c r="Y5" i="6"/>
  <c r="AB4" i="6"/>
  <c r="AA4" i="6"/>
  <c r="Z4" i="6"/>
  <c r="Y4" i="6"/>
  <c r="AC4" i="6" s="1" a="1"/>
  <c r="AB7" i="6"/>
  <c r="AA7" i="6"/>
  <c r="AL16" i="6"/>
  <c r="AL4" i="6"/>
  <c r="AM4" i="6" s="1"/>
  <c r="AL15" i="6"/>
  <c r="AM15" i="6" s="1"/>
  <c r="AL14" i="6"/>
  <c r="AM14" i="6" s="1"/>
  <c r="AL13" i="6"/>
  <c r="AM13" i="6" s="1"/>
  <c r="AL12" i="6"/>
  <c r="AM12" i="6" s="1"/>
  <c r="AL11" i="6"/>
  <c r="AL10" i="6"/>
  <c r="AL18" i="6"/>
  <c r="AM18" i="6" s="1"/>
  <c r="AL17" i="6"/>
  <c r="AM17" i="6" s="1"/>
  <c r="AL9" i="6"/>
  <c r="AL8" i="6"/>
  <c r="AL6" i="6"/>
  <c r="AM6" i="6" s="1"/>
  <c r="AL5" i="6"/>
  <c r="AM5" i="6" s="1"/>
  <c r="AL7" i="6"/>
  <c r="AM7" i="6" s="1"/>
  <c r="N18" i="1"/>
  <c r="AD24" i="1" a="1"/>
  <c r="AD18" i="3"/>
  <c r="Y14" i="3"/>
  <c r="Y15" i="3" s="1"/>
  <c r="AE14" i="3"/>
  <c r="AI18" i="6"/>
  <c r="AH18" i="6"/>
  <c r="AH12" i="6"/>
  <c r="AI12" i="6"/>
  <c r="AH8" i="6"/>
  <c r="AI8" i="6"/>
  <c r="AH5" i="6"/>
  <c r="AI5" i="6"/>
  <c r="AI13" i="6"/>
  <c r="AH13" i="6"/>
  <c r="AI15" i="6"/>
  <c r="AH15" i="6"/>
  <c r="W4" i="3"/>
  <c r="AK12" i="3" s="1" a="1"/>
  <c r="AK12" i="3" s="1"/>
  <c r="X4" i="3"/>
  <c r="X5" i="3"/>
  <c r="W5" i="3"/>
  <c r="AH9" i="6"/>
  <c r="AI9" i="6"/>
  <c r="AD17" i="3"/>
  <c r="AI14" i="6"/>
  <c r="AH14" i="6"/>
  <c r="AE5" i="3"/>
  <c r="AM11" i="6"/>
  <c r="AM10" i="6"/>
  <c r="AM9" i="6"/>
  <c r="AM8" i="6"/>
  <c r="AM16" i="6"/>
  <c r="AI4" i="6"/>
  <c r="AH4" i="6"/>
  <c r="AG19" i="6"/>
  <c r="AI8" i="3"/>
  <c r="AI7" i="3"/>
  <c r="AI17" i="3"/>
  <c r="AI16" i="3"/>
  <c r="AG15" i="3"/>
  <c r="AI14" i="3"/>
  <c r="AI13" i="3"/>
  <c r="AI12" i="3"/>
  <c r="AG18" i="3"/>
  <c r="AI6" i="3"/>
  <c r="AI10" i="3"/>
  <c r="AI9" i="3"/>
  <c r="AH11" i="6"/>
  <c r="AI11" i="6"/>
  <c r="AI17" i="6"/>
  <c r="AH17" i="6"/>
  <c r="AH10" i="6"/>
  <c r="AI10" i="6"/>
  <c r="AI7" i="6"/>
  <c r="AH7" i="6"/>
  <c r="AI6" i="6"/>
  <c r="AH6" i="6"/>
  <c r="AH16" i="6"/>
  <c r="AI16" i="6"/>
  <c r="AE6" i="3"/>
  <c r="AD11" i="3"/>
  <c r="AD15" i="3"/>
  <c r="AE7" i="3"/>
  <c r="AE16" i="3"/>
  <c r="AD16" i="3"/>
  <c r="AE4" i="3"/>
  <c r="AD4" i="3"/>
  <c r="AC19" i="3"/>
  <c r="AE13" i="3"/>
  <c r="AD13" i="3"/>
  <c r="AD10" i="3"/>
  <c r="AE10" i="3"/>
  <c r="AE9" i="3"/>
  <c r="AD9" i="3"/>
  <c r="AE8" i="3"/>
  <c r="AD8" i="3"/>
  <c r="B25" i="1"/>
  <c r="AQ5" i="1" a="1"/>
  <c r="AQ5" i="1" s="1"/>
  <c r="AQ7" i="1" a="1"/>
  <c r="AQ7" i="1" s="1"/>
  <c r="AF6" i="1" a="1"/>
  <c r="AF6" i="1" s="1"/>
  <c r="AQ8" i="1" a="1"/>
  <c r="AQ8" i="1" s="1"/>
  <c r="AQ4" i="1" a="1"/>
  <c r="AQ4" i="1" s="1"/>
  <c r="AF4" i="1" a="1"/>
  <c r="AF4" i="1" s="1"/>
  <c r="AQ6" i="1" a="1"/>
  <c r="AQ6" i="1" s="1"/>
  <c r="AF13" i="1" a="1"/>
  <c r="AF13" i="1" s="1"/>
  <c r="AF10" i="1" a="1"/>
  <c r="AF10" i="1" s="1"/>
  <c r="AF11" i="1" a="1"/>
  <c r="AF11" i="1" s="1"/>
  <c r="AF9" i="1" a="1"/>
  <c r="AF9" i="1" s="1"/>
  <c r="AF12" i="1" a="1"/>
  <c r="AF12" i="1" s="1"/>
  <c r="AF5" i="1" a="1"/>
  <c r="AF5" i="1" s="1"/>
  <c r="AF14" i="1" a="1"/>
  <c r="AF14" i="1" s="1"/>
  <c r="AF16" i="1" a="1"/>
  <c r="AF16" i="1" s="1"/>
  <c r="AF7" i="1" a="1"/>
  <c r="AF7" i="1" s="1"/>
  <c r="AF8" i="1" a="1"/>
  <c r="AF8" i="1" s="1"/>
  <c r="AF18" i="1" a="1"/>
  <c r="AF18" i="1" s="1"/>
  <c r="AF17" i="1" a="1"/>
  <c r="AF17" i="1" s="1"/>
  <c r="AF15" i="1" a="1"/>
  <c r="AF15" i="1" s="1"/>
  <c r="Y19" i="1"/>
  <c r="AO17" i="6" l="1" a="1"/>
  <c r="AO17" i="6" s="1"/>
  <c r="AP17" i="6" s="1"/>
  <c r="AC6" i="6"/>
  <c r="AC7" i="6"/>
  <c r="AC5" i="6"/>
  <c r="AC4" i="6"/>
  <c r="AO12" i="6" a="1"/>
  <c r="AO12" i="6" s="1"/>
  <c r="AO4" i="6" a="1"/>
  <c r="AO4" i="6" s="1"/>
  <c r="AQ4" i="6" s="1"/>
  <c r="AK25" i="1"/>
  <c r="AK34" i="1"/>
  <c r="AR26" i="1"/>
  <c r="AP34" i="1"/>
  <c r="AD28" i="1"/>
  <c r="AP35" i="1"/>
  <c r="AE28" i="1"/>
  <c r="AQ35" i="1"/>
  <c r="AK29" i="1"/>
  <c r="AQ36" i="1"/>
  <c r="AL29" i="1"/>
  <c r="AG37" i="1"/>
  <c r="AR30" i="1"/>
  <c r="AG38" i="1"/>
  <c r="AD31" i="1"/>
  <c r="AH38" i="1"/>
  <c r="AE32" i="1"/>
  <c r="AJ32" i="1"/>
  <c r="AJ33" i="1"/>
  <c r="AD24" i="1"/>
  <c r="AK33" i="1"/>
  <c r="AL30" i="1"/>
  <c r="AD25" i="1"/>
  <c r="AM34" i="1"/>
  <c r="AQ29" i="1"/>
  <c r="AI24" i="1"/>
  <c r="AR33" i="1"/>
  <c r="AJ28" i="1"/>
  <c r="AI25" i="1"/>
  <c r="AN37" i="1"/>
  <c r="AH30" i="1"/>
  <c r="AI29" i="1"/>
  <c r="AL36" i="1"/>
  <c r="AO28" i="1"/>
  <c r="AN28" i="1"/>
  <c r="AM28" i="1"/>
  <c r="AL28" i="1"/>
  <c r="AK28" i="1"/>
  <c r="AI31" i="1"/>
  <c r="AP25" i="1"/>
  <c r="AJ35" i="1"/>
  <c r="AN30" i="1"/>
  <c r="AF25" i="1"/>
  <c r="AO34" i="1"/>
  <c r="AG29" i="1"/>
  <c r="AE38" i="1"/>
  <c r="AH35" i="1"/>
  <c r="AG26" i="1"/>
  <c r="AQ27" i="1"/>
  <c r="AP32" i="1"/>
  <c r="AH27" i="1"/>
  <c r="AG27" i="1"/>
  <c r="AF27" i="1"/>
  <c r="AE27" i="1"/>
  <c r="AD27" i="1"/>
  <c r="AF32" i="1"/>
  <c r="AM26" i="1"/>
  <c r="AG36" i="1"/>
  <c r="AK31" i="1"/>
  <c r="AR25" i="1"/>
  <c r="AL35" i="1"/>
  <c r="AD30" i="1"/>
  <c r="AN35" i="1"/>
  <c r="AG34" i="1"/>
  <c r="AE34" i="1"/>
  <c r="AJ26" i="1"/>
  <c r="AP28" i="1"/>
  <c r="AF26" i="1"/>
  <c r="AE26" i="1"/>
  <c r="AN25" i="1"/>
  <c r="AM25" i="1"/>
  <c r="AL25" i="1"/>
  <c r="AR32" i="1"/>
  <c r="AJ27" i="1"/>
  <c r="AD37" i="1"/>
  <c r="AH32" i="1"/>
  <c r="AO26" i="1"/>
  <c r="AI36" i="1"/>
  <c r="AP30" i="1"/>
  <c r="AH33" i="1"/>
  <c r="AP31" i="1"/>
  <c r="AQ26" i="1"/>
  <c r="AH25" i="1"/>
  <c r="AN27" i="1"/>
  <c r="AN24" i="1"/>
  <c r="AM24" i="1"/>
  <c r="AL24" i="1"/>
  <c r="AK24" i="1"/>
  <c r="AE24" i="1"/>
  <c r="AF24" i="1"/>
  <c r="AO33" i="1"/>
  <c r="AG28" i="1"/>
  <c r="AP37" i="1"/>
  <c r="AE33" i="1"/>
  <c r="AL27" i="1"/>
  <c r="AF37" i="1"/>
  <c r="AM31" i="1"/>
  <c r="AK30" i="1"/>
  <c r="AI30" i="1"/>
  <c r="AJ25" i="1"/>
  <c r="AN36" i="1"/>
  <c r="AO25" i="1"/>
  <c r="AG24" i="1"/>
  <c r="AK27" i="1"/>
  <c r="AR29" i="1"/>
  <c r="AH24" i="1"/>
  <c r="AP27" i="1"/>
  <c r="AK26" i="1"/>
  <c r="AQ38" i="1"/>
  <c r="AN32" i="1"/>
  <c r="AI37" i="1"/>
  <c r="AK32" i="1"/>
  <c r="AL26" i="1"/>
  <c r="AD29" i="1"/>
  <c r="AH28" i="1"/>
  <c r="AO30" i="1"/>
  <c r="AP36" i="1"/>
  <c r="AQ24" i="1"/>
  <c r="AO36" i="1"/>
  <c r="AL37" i="1"/>
  <c r="AH31" i="1"/>
  <c r="AD36" i="1"/>
  <c r="AE31" i="1"/>
  <c r="AI27" i="1"/>
  <c r="AP29" i="1"/>
  <c r="AE29" i="1"/>
  <c r="AL31" i="1"/>
  <c r="AO35" i="1"/>
  <c r="AO27" i="1"/>
  <c r="AI34" i="1"/>
  <c r="AK36" i="1"/>
  <c r="AF30" i="1"/>
  <c r="AR34" i="1"/>
  <c r="AM29" i="1"/>
  <c r="AF28" i="1"/>
  <c r="AM30" i="1"/>
  <c r="AQ33" i="1"/>
  <c r="AI32" i="1"/>
  <c r="AI33" i="1"/>
  <c r="AH26" i="1"/>
  <c r="AR31" i="1"/>
  <c r="AF35" i="1"/>
  <c r="AK38" i="1"/>
  <c r="AM33" i="1"/>
  <c r="AR28" i="1"/>
  <c r="AJ31" i="1"/>
  <c r="AN34" i="1"/>
  <c r="AF33" i="1"/>
  <c r="AD32" i="1"/>
  <c r="AR38" i="1"/>
  <c r="AG33" i="1"/>
  <c r="AO32" i="1"/>
  <c r="AJ37" i="1"/>
  <c r="AL32" i="1"/>
  <c r="AO29" i="1"/>
  <c r="AG32" i="1"/>
  <c r="AK35" i="1"/>
  <c r="AR37" i="1"/>
  <c r="AJ29" i="1"/>
  <c r="AM37" i="1"/>
  <c r="AH29" i="1"/>
  <c r="AN31" i="1"/>
  <c r="AE36" i="1"/>
  <c r="AF31" i="1"/>
  <c r="AL34" i="1"/>
  <c r="AD33" i="1"/>
  <c r="AH36" i="1"/>
  <c r="AO38" i="1"/>
  <c r="AR27" i="1"/>
  <c r="AG35" i="1"/>
  <c r="AI26" i="1"/>
  <c r="AG30" i="1"/>
  <c r="AD35" i="1"/>
  <c r="AN29" i="1"/>
  <c r="AI35" i="1"/>
  <c r="AP33" i="1"/>
  <c r="AE37" i="1"/>
  <c r="AJ24" i="1"/>
  <c r="AD38" i="1"/>
  <c r="AE25" i="1"/>
  <c r="AH34" i="1"/>
  <c r="AO24" i="1"/>
  <c r="AH37" i="1"/>
  <c r="AQ25" i="1"/>
  <c r="AQ31" i="1"/>
  <c r="AP38" i="1"/>
  <c r="AR35" i="1"/>
  <c r="AN26" i="1"/>
  <c r="AJ30" i="1"/>
  <c r="AK37" i="1"/>
  <c r="AQ34" i="1"/>
  <c r="AQ37" i="1"/>
  <c r="AF34" i="1"/>
  <c r="AJ36" i="1"/>
  <c r="AL33" i="1"/>
  <c r="AN38" i="1"/>
  <c r="AO31" i="1"/>
  <c r="AE35" i="1"/>
  <c r="AI28" i="1"/>
  <c r="AF38" i="1"/>
  <c r="AD34" i="1"/>
  <c r="AR24" i="1"/>
  <c r="AJ34" i="1"/>
  <c r="AN33" i="1"/>
  <c r="AF36" i="1"/>
  <c r="AQ30" i="1"/>
  <c r="AD26" i="1"/>
  <c r="AG31" i="1"/>
  <c r="AP26" i="1"/>
  <c r="AE30" i="1"/>
  <c r="AM27" i="1"/>
  <c r="AJ38" i="1"/>
  <c r="AM38" i="1"/>
  <c r="AP24" i="1"/>
  <c r="AF29" i="1"/>
  <c r="AG25" i="1"/>
  <c r="AM32" i="1"/>
  <c r="AR36" i="1"/>
  <c r="AM36" i="1"/>
  <c r="AO37" i="1"/>
  <c r="AQ32" i="1"/>
  <c r="AL38" i="1"/>
  <c r="AQ28" i="1"/>
  <c r="AM35" i="1"/>
  <c r="AI38" i="1"/>
  <c r="AI4" i="3"/>
  <c r="AF4" i="3"/>
  <c r="AQ9" i="6"/>
  <c r="AP6" i="6"/>
  <c r="AQ15" i="6"/>
  <c r="AK10" i="3" a="1"/>
  <c r="AK10" i="3" s="1"/>
  <c r="AK13" i="6"/>
  <c r="AP7" i="6"/>
  <c r="AJ6" i="6"/>
  <c r="AQ17" i="6"/>
  <c r="AQ14" i="6"/>
  <c r="AF11" i="3"/>
  <c r="AP13" i="6"/>
  <c r="AQ8" i="6"/>
  <c r="AG6" i="3"/>
  <c r="AK9" i="3" a="1"/>
  <c r="AK9" i="3" s="1"/>
  <c r="AP16" i="6"/>
  <c r="AK8" i="3" a="1"/>
  <c r="AK8" i="3" s="1"/>
  <c r="AF12" i="3"/>
  <c r="AK13" i="3" a="1"/>
  <c r="AK13" i="3" s="1"/>
  <c r="AF13" i="3"/>
  <c r="AK10" i="6"/>
  <c r="AJ10" i="6"/>
  <c r="AK11" i="6"/>
  <c r="AJ11" i="6"/>
  <c r="AK14" i="6"/>
  <c r="AJ5" i="6"/>
  <c r="AG14" i="3"/>
  <c r="AG5" i="3"/>
  <c r="AK9" i="6"/>
  <c r="AJ8" i="6"/>
  <c r="AK5" i="6"/>
  <c r="AK12" i="6"/>
  <c r="AJ12" i="6"/>
  <c r="AK6" i="6"/>
  <c r="AP10" i="6"/>
  <c r="AG10" i="3"/>
  <c r="AF10" i="3"/>
  <c r="AJ17" i="6"/>
  <c r="V4" i="6"/>
  <c r="AJ4" i="6"/>
  <c r="AJ9" i="6"/>
  <c r="AK8" i="6"/>
  <c r="AJ15" i="6"/>
  <c r="AJ7" i="6"/>
  <c r="AK15" i="6"/>
  <c r="AK17" i="6"/>
  <c r="V5" i="6"/>
  <c r="W5" i="6" s="1"/>
  <c r="AK4" i="6"/>
  <c r="AK16" i="6"/>
  <c r="AK7" i="6"/>
  <c r="Y4" i="3" a="1"/>
  <c r="AK18" i="3" a="1"/>
  <c r="AK18" i="3" s="1"/>
  <c r="AK5" i="3" a="1"/>
  <c r="AK5" i="3" s="1"/>
  <c r="AK15" i="3" a="1"/>
  <c r="AK15" i="3" s="1"/>
  <c r="AK16" i="3" a="1"/>
  <c r="AK16" i="3" s="1"/>
  <c r="AK17" i="3" a="1"/>
  <c r="AK17" i="3" s="1"/>
  <c r="AK6" i="3" a="1"/>
  <c r="AK6" i="3" s="1"/>
  <c r="AK7" i="3" a="1"/>
  <c r="AK7" i="3" s="1"/>
  <c r="AK11" i="3" a="1"/>
  <c r="AK11" i="3" s="1"/>
  <c r="AK14" i="3" a="1"/>
  <c r="AK14" i="3" s="1"/>
  <c r="AJ18" i="6"/>
  <c r="AJ16" i="6"/>
  <c r="AJ14" i="6"/>
  <c r="AJ13" i="6"/>
  <c r="AK18" i="6"/>
  <c r="AF6" i="3"/>
  <c r="AI11" i="3"/>
  <c r="AF14" i="3"/>
  <c r="AB4" i="1"/>
  <c r="Z4" i="1" s="1"/>
  <c r="AB18" i="1"/>
  <c r="AB17" i="1"/>
  <c r="AB6" i="1"/>
  <c r="AB10" i="1"/>
  <c r="AB16" i="1"/>
  <c r="AB15" i="1"/>
  <c r="AB13" i="1"/>
  <c r="AB12" i="1"/>
  <c r="AB5" i="1"/>
  <c r="AB8" i="1"/>
  <c r="AB9" i="1"/>
  <c r="AB11" i="1"/>
  <c r="AB7" i="1"/>
  <c r="AB14" i="1"/>
  <c r="AF5" i="3"/>
  <c r="AI5" i="3"/>
  <c r="AG9" i="3"/>
  <c r="AI15" i="3"/>
  <c r="AF16" i="3"/>
  <c r="AF15" i="3"/>
  <c r="AG16" i="3"/>
  <c r="AG11" i="3"/>
  <c r="AF17" i="3"/>
  <c r="AG13" i="3"/>
  <c r="AF8" i="3"/>
  <c r="AG8" i="3"/>
  <c r="AG12" i="3"/>
  <c r="AF7" i="3"/>
  <c r="AF9" i="3"/>
  <c r="AG7" i="3"/>
  <c r="T4" i="3"/>
  <c r="T5" i="3"/>
  <c r="AG4" i="3"/>
  <c r="AG17" i="3"/>
  <c r="AF18" i="3"/>
  <c r="AI18" i="3"/>
  <c r="AH6" i="1"/>
  <c r="AG6" i="1"/>
  <c r="AG15" i="1"/>
  <c r="AH15" i="1"/>
  <c r="AG9" i="1"/>
  <c r="AH9" i="1"/>
  <c r="AA19" i="1"/>
  <c r="B26" i="1"/>
  <c r="AH18" i="1"/>
  <c r="AG18" i="1"/>
  <c r="AG11" i="1"/>
  <c r="AH11" i="1"/>
  <c r="AR7" i="1"/>
  <c r="AS7" i="1"/>
  <c r="AS4" i="1"/>
  <c r="AR4" i="1"/>
  <c r="B28" i="1"/>
  <c r="B29" i="1" s="1"/>
  <c r="C25" i="1"/>
  <c r="AG8" i="1"/>
  <c r="AH8" i="1"/>
  <c r="AH10" i="1"/>
  <c r="AG10" i="1"/>
  <c r="AS5" i="1"/>
  <c r="AR5" i="1"/>
  <c r="AH13" i="1"/>
  <c r="AG13" i="1"/>
  <c r="AH5" i="1"/>
  <c r="AG5" i="1"/>
  <c r="AS8" i="1"/>
  <c r="AR8" i="1"/>
  <c r="AH7" i="1"/>
  <c r="AG7" i="1"/>
  <c r="AH16" i="1"/>
  <c r="AG16" i="1"/>
  <c r="AR6" i="1"/>
  <c r="AS6" i="1"/>
  <c r="AH12" i="1"/>
  <c r="AG12" i="1"/>
  <c r="AG17" i="1"/>
  <c r="AH17" i="1"/>
  <c r="AG14" i="1"/>
  <c r="AH14" i="1"/>
  <c r="AH4" i="1"/>
  <c r="AG4" i="1"/>
  <c r="AP4" i="6" l="1"/>
  <c r="AP9" i="6"/>
  <c r="AP15" i="6"/>
  <c r="AQ6" i="6"/>
  <c r="AP14" i="6"/>
  <c r="AQ12" i="6"/>
  <c r="AP12" i="6"/>
  <c r="AQ18" i="6"/>
  <c r="AP18" i="6"/>
  <c r="AP8" i="6"/>
  <c r="AQ11" i="6"/>
  <c r="AP11" i="6"/>
  <c r="AP5" i="6"/>
  <c r="AQ5" i="6"/>
  <c r="V10" i="6"/>
  <c r="V11" i="6" s="1"/>
  <c r="W4" i="6"/>
  <c r="Y5" i="3"/>
  <c r="Y4" i="3"/>
  <c r="Z12" i="1"/>
  <c r="AA12" i="1"/>
  <c r="Z18" i="1"/>
  <c r="AA18" i="1"/>
  <c r="Z11" i="1"/>
  <c r="AA11" i="1"/>
  <c r="AA4" i="1"/>
  <c r="AA13" i="1"/>
  <c r="Z13" i="1"/>
  <c r="AA16" i="1"/>
  <c r="Z16" i="1"/>
  <c r="Z6" i="1"/>
  <c r="AA6" i="1"/>
  <c r="AA17" i="1"/>
  <c r="Z17" i="1"/>
  <c r="AA9" i="1"/>
  <c r="Z9" i="1"/>
  <c r="AA15" i="1"/>
  <c r="Z15" i="1"/>
  <c r="AA8" i="1"/>
  <c r="Z8" i="1"/>
  <c r="Z10" i="1"/>
  <c r="AA10" i="1"/>
  <c r="Z14" i="1"/>
  <c r="AA14" i="1"/>
  <c r="AA7" i="1"/>
  <c r="Z7" i="1"/>
  <c r="Z5" i="1"/>
  <c r="AA5" i="1"/>
  <c r="U5" i="3"/>
  <c r="U4" i="3"/>
  <c r="T10" i="3"/>
  <c r="T11" i="3" s="1"/>
  <c r="C26" i="1"/>
  <c r="R30" i="1"/>
  <c r="R32" i="1"/>
  <c r="R29" i="1"/>
  <c r="R31" i="1"/>
  <c r="V30" i="1" l="1"/>
  <c r="U30" i="1"/>
  <c r="S30" i="1"/>
  <c r="T30" i="1" s="1"/>
  <c r="V29" i="1"/>
  <c r="U29" i="1"/>
  <c r="S29" i="1"/>
  <c r="T29" i="1" s="1"/>
  <c r="U31" i="1"/>
  <c r="S31" i="1"/>
  <c r="T31" i="1" s="1"/>
  <c r="V31" i="1"/>
  <c r="U32" i="1"/>
  <c r="S32" i="1"/>
  <c r="T32" i="1" s="1"/>
  <c r="V32" i="1"/>
  <c r="AM12" i="3" l="1"/>
  <c r="AL7" i="3"/>
  <c r="AM7" i="3"/>
  <c r="AL12" i="3"/>
  <c r="AM17" i="3"/>
  <c r="AL11" i="3"/>
  <c r="AM14" i="3"/>
  <c r="AL6" i="3"/>
  <c r="AL17" i="3"/>
  <c r="AL14" i="3"/>
  <c r="AM6" i="3"/>
  <c r="AL18" i="3"/>
  <c r="AM9" i="3"/>
  <c r="AM10" i="3"/>
  <c r="AL10" i="3"/>
  <c r="AM18" i="3"/>
  <c r="AM8" i="3"/>
  <c r="AM16" i="3"/>
  <c r="AL5" i="3"/>
  <c r="AL9" i="3"/>
  <c r="AM15" i="3"/>
  <c r="AL8" i="3"/>
  <c r="AL16" i="3"/>
  <c r="AM11" i="3"/>
  <c r="AL15" i="3"/>
  <c r="AM13" i="3"/>
  <c r="AM5" i="3"/>
  <c r="AL13" i="3"/>
  <c r="AM4" i="3" l="1"/>
  <c r="AL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<sst xmlns="http://schemas.openxmlformats.org/spreadsheetml/2006/main" count="252" uniqueCount="76">
  <si>
    <t>Poisson Regression</t>
  </si>
  <si>
    <t>Tumor</t>
  </si>
  <si>
    <t>Pop</t>
  </si>
  <si>
    <t>Psych</t>
  </si>
  <si>
    <t>Cig</t>
  </si>
  <si>
    <t>Int</t>
  </si>
  <si>
    <t>Psy A</t>
  </si>
  <si>
    <t>Psy B</t>
  </si>
  <si>
    <t>y</t>
  </si>
  <si>
    <t>freq</t>
  </si>
  <si>
    <t>η</t>
  </si>
  <si>
    <t>μ</t>
  </si>
  <si>
    <t>yln(μ)</t>
  </si>
  <si>
    <t>ln(y!)</t>
  </si>
  <si>
    <t>yln(y)</t>
  </si>
  <si>
    <t>yln(t)</t>
  </si>
  <si>
    <t>r</t>
  </si>
  <si>
    <t>p</t>
  </si>
  <si>
    <t>d</t>
  </si>
  <si>
    <t>sp</t>
  </si>
  <si>
    <t>sd</t>
  </si>
  <si>
    <t>h</t>
  </si>
  <si>
    <t>obs</t>
  </si>
  <si>
    <t>pred</t>
  </si>
  <si>
    <t>s.e.</t>
  </si>
  <si>
    <t>lower</t>
  </si>
  <si>
    <t>upper</t>
  </si>
  <si>
    <t>RR</t>
  </si>
  <si>
    <t>Intercept</t>
  </si>
  <si>
    <t>A</t>
  </si>
  <si>
    <t>n</t>
  </si>
  <si>
    <t>k</t>
  </si>
  <si>
    <t>df</t>
  </si>
  <si>
    <t>alpha</t>
  </si>
  <si>
    <t>B</t>
  </si>
  <si>
    <t>crit</t>
  </si>
  <si>
    <t>η-tilde</t>
  </si>
  <si>
    <t>LL min</t>
  </si>
  <si>
    <t>C</t>
  </si>
  <si>
    <t>LL fit</t>
  </si>
  <si>
    <t>LL max</t>
  </si>
  <si>
    <t>R-square</t>
  </si>
  <si>
    <t>McF R-sq</t>
  </si>
  <si>
    <t>coeff</t>
  </si>
  <si>
    <t>Goodness of Fit</t>
  </si>
  <si>
    <t>Covariance Matrix</t>
  </si>
  <si>
    <t>se</t>
  </si>
  <si>
    <t>z-stat</t>
  </si>
  <si>
    <t>p-value</t>
  </si>
  <si>
    <r>
      <t>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Z)</t>
    </r>
    <r>
      <rPr>
        <vertAlign val="superscript"/>
        <sz val="11"/>
        <color theme="1"/>
        <rFont val="Aptos Narrow"/>
        <family val="2"/>
        <scheme val="minor"/>
      </rPr>
      <t>-1</t>
    </r>
  </si>
  <si>
    <t>where Z = μ*X</t>
  </si>
  <si>
    <r>
      <t>Hat = Z(X</t>
    </r>
    <r>
      <rPr>
        <vertAlign val="superscript"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Z)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X</t>
    </r>
    <r>
      <rPr>
        <vertAlign val="superscript"/>
        <sz val="11"/>
        <color theme="1"/>
        <rFont val="Aptos Narrow"/>
        <family val="2"/>
        <scheme val="minor"/>
      </rPr>
      <t>T</t>
    </r>
  </si>
  <si>
    <t>diag</t>
  </si>
  <si>
    <t>chi-sq</t>
  </si>
  <si>
    <t>Pearson</t>
  </si>
  <si>
    <t>G-square</t>
  </si>
  <si>
    <t>AIC</t>
  </si>
  <si>
    <t>φ</t>
  </si>
  <si>
    <t>√φ</t>
  </si>
  <si>
    <t>Residuals</t>
  </si>
  <si>
    <t>Predictions</t>
  </si>
  <si>
    <t>Converge</t>
  </si>
  <si>
    <t>mu</t>
  </si>
  <si>
    <t>With phi correction</t>
  </si>
  <si>
    <t>iter</t>
  </si>
  <si>
    <t>phi</t>
  </si>
  <si>
    <t>sqrt phi</t>
  </si>
  <si>
    <t>larger</t>
  </si>
  <si>
    <t>smaller</t>
  </si>
  <si>
    <t>diff</t>
  </si>
  <si>
    <t>LL</t>
  </si>
  <si>
    <t>Real Statistics Using Excel</t>
  </si>
  <si>
    <t>Updated</t>
  </si>
  <si>
    <t>Copyright © 2013 - 2023 Charles Zaiontz</t>
  </si>
  <si>
    <t>BIC</t>
  </si>
  <si>
    <t>{=AJ4*SQRT(MMULT(MMULT(DEsign(G4),$W$4:$X$5),TRANSPOSE(DEsign(G4))))}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</si>
</sst>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2" fontId="0" fillId="0" borderId="0" xfId="0" applyNumberForma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15" fontId="0" fillId="0" borderId="0" xfId="0" applyNumberFormat="1"/>
    <xf numFmtId="0" fontId="4" fillId="0" borderId="0" xfId="0" applyFont="1"/>
    <xf numFmtId="0" fontId="0" fillId="0" borderId="32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Pearson</a:t>
            </a:r>
            <a:r>
              <a:rPr lang="en-GB" baseline="0"/>
              <a:t> Residuals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'PReg 1'!$X$4:$X$18</c:f>
              <c:numCache>
                <c:formatCode>General</c:formatCode>
                <c:ptCount val="15"/>
                <c:pt idx="0">
                  <c:v>1.5544943300866672</c:v>
                </c:pt>
                <c:pt idx="1">
                  <c:v>1.1057967361361869</c:v>
                </c:pt>
                <c:pt idx="2">
                  <c:v>-1.2127059711041739</c:v>
                </c:pt>
                <c:pt idx="3">
                  <c:v>-1.4115223635684773</c:v>
                </c:pt>
                <c:pt idx="4">
                  <c:v>0.90126023652608001</c:v>
                </c:pt>
                <c:pt idx="5">
                  <c:v>5.2600580431033626E-2</c:v>
                </c:pt>
                <c:pt idx="6">
                  <c:v>-0.70633384643279906</c:v>
                </c:pt>
                <c:pt idx="7">
                  <c:v>-9.2038430141853391E-4</c:v>
                </c:pt>
                <c:pt idx="8">
                  <c:v>-0.84030074376150488</c:v>
                </c:pt>
                <c:pt idx="9">
                  <c:v>1.4353525063096912</c:v>
                </c:pt>
                <c:pt idx="10">
                  <c:v>-0.68796793625161134</c:v>
                </c:pt>
                <c:pt idx="11">
                  <c:v>0.2105163082720575</c:v>
                </c:pt>
                <c:pt idx="12">
                  <c:v>0.2342719141860525</c:v>
                </c:pt>
                <c:pt idx="13">
                  <c:v>0.17348312340286243</c:v>
                </c:pt>
                <c:pt idx="14">
                  <c:v>-3.966985526408677E-2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65-4203-9E53-EF1795D9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838712"/>
        <c:axId val="736839888"/>
      </c:scatterChart>
      <c:valAx>
        <c:axId val="736838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839888"/>
        <c:crosses val="autoZero"/>
        <c:crossBetween val="midCat"/>
      </c:valAx>
      <c:valAx>
        <c:axId val="73683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838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Studentized Pearson 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'PReg 1'!$Z$4:$Z$18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02-4A00-A453-1E3EFC9D4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841456"/>
        <c:axId val="736858312"/>
      </c:scatterChart>
      <c:valAx>
        <c:axId val="736841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858312"/>
        <c:crosses val="autoZero"/>
        <c:crossBetween val="midCat"/>
      </c:valAx>
      <c:valAx>
        <c:axId val="73685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841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114300</xdr:colOff>
      <xdr:row>18</xdr:row>
      <xdr:rowOff>80962</xdr:rowOff>
    </xdr:from>
    <xdr:to>
      <xdr:col>53</xdr:col>
      <xdr:colOff>419100</xdr:colOff>
      <xdr:row>32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BDDE4D-3422-4D94-9723-EF80E5407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428625</xdr:colOff>
      <xdr:row>18</xdr:row>
      <xdr:rowOff>80962</xdr:rowOff>
    </xdr:from>
    <xdr:to>
      <xdr:col>61</xdr:col>
      <xdr:colOff>123825</xdr:colOff>
      <xdr:row>32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62D495-A060-4934-9A6D-41E38817F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71A2-9703-4DC7-84E9-7ADE4FD50FD0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71</v>
      </c>
    </row>
    <row r="2" spans="1:2" x14ac:dyDescent="0.35">
      <c r="A2" t="s">
        <v>0</v>
      </c>
    </row>
    <row r="4" spans="1:2" x14ac:dyDescent="0.35">
      <c r="A4" t="s">
        <v>72</v>
      </c>
      <c r="B4" s="55">
        <v>45925</v>
      </c>
    </row>
    <row r="6" spans="1:2" x14ac:dyDescent="0.35">
      <c r="A6" s="56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BA8F-9D7C-4CB7-B886-9254346AA731}">
  <sheetPr codeName="Sheet2"/>
  <dimension ref="A1:BH48"/>
  <sheetViews>
    <sheetView workbookViewId="0"/>
  </sheetViews>
  <sheetFormatPr defaultRowHeight="14.5" x14ac:dyDescent="0.35"/>
  <sheetData>
    <row r="1" spans="1:60" x14ac:dyDescent="0.35">
      <c r="A1" s="1" t="s">
        <v>0</v>
      </c>
      <c r="B1" s="2"/>
      <c r="D1" s="2"/>
      <c r="E1" s="2"/>
      <c r="AH1" s="3"/>
    </row>
    <row r="2" spans="1:60" x14ac:dyDescent="0.35">
      <c r="A2" s="2"/>
      <c r="B2" s="2"/>
      <c r="D2" s="2"/>
      <c r="E2" s="2"/>
      <c r="AH2" s="3"/>
    </row>
    <row r="3" spans="1:60" x14ac:dyDescent="0.35">
      <c r="A3" s="4" t="s">
        <v>1</v>
      </c>
      <c r="B3" s="4" t="s">
        <v>2</v>
      </c>
      <c r="C3" s="4" t="s">
        <v>3</v>
      </c>
      <c r="D3" s="4" t="s">
        <v>4</v>
      </c>
      <c r="E3" s="2"/>
      <c r="F3" s="4" t="s">
        <v>5</v>
      </c>
      <c r="G3" s="4" t="s">
        <v>6</v>
      </c>
      <c r="H3" s="4" t="s">
        <v>7</v>
      </c>
      <c r="I3" s="4" t="s">
        <v>4</v>
      </c>
      <c r="J3" s="4" t="s">
        <v>8</v>
      </c>
      <c r="K3" s="4" t="s">
        <v>9</v>
      </c>
      <c r="L3" s="2"/>
      <c r="P3" s="5" t="s">
        <v>10</v>
      </c>
      <c r="Q3" s="4" t="s">
        <v>11</v>
      </c>
      <c r="R3" s="4" t="s">
        <v>12</v>
      </c>
      <c r="S3" s="4" t="s">
        <v>13</v>
      </c>
      <c r="T3" s="4" t="s">
        <v>14</v>
      </c>
      <c r="U3" s="4" t="s">
        <v>15</v>
      </c>
      <c r="W3" s="4" t="s">
        <v>16</v>
      </c>
      <c r="X3" s="4" t="s">
        <v>17</v>
      </c>
      <c r="Y3" s="4" t="s">
        <v>18</v>
      </c>
      <c r="Z3" s="4" t="s">
        <v>19</v>
      </c>
      <c r="AA3" s="4" t="s">
        <v>20</v>
      </c>
      <c r="AB3" s="4" t="s">
        <v>21</v>
      </c>
      <c r="AD3" s="4" t="s">
        <v>22</v>
      </c>
      <c r="AE3" s="4" t="s">
        <v>23</v>
      </c>
      <c r="AF3" s="4" t="s">
        <v>24</v>
      </c>
      <c r="AG3" s="4" t="s">
        <v>25</v>
      </c>
      <c r="AH3" s="4" t="s">
        <v>26</v>
      </c>
      <c r="AI3" s="4" t="s">
        <v>27</v>
      </c>
      <c r="AK3" s="4" t="s">
        <v>28</v>
      </c>
      <c r="AL3" s="4" t="s">
        <v>6</v>
      </c>
      <c r="AM3" s="4" t="s">
        <v>7</v>
      </c>
      <c r="AN3" s="4" t="s">
        <v>4</v>
      </c>
      <c r="AO3" s="4" t="s">
        <v>2</v>
      </c>
      <c r="AP3" s="4" t="s">
        <v>23</v>
      </c>
      <c r="AQ3" s="4" t="s">
        <v>24</v>
      </c>
      <c r="AR3" s="4" t="s">
        <v>25</v>
      </c>
      <c r="AS3" s="4" t="s">
        <v>26</v>
      </c>
    </row>
    <row r="4" spans="1:60" x14ac:dyDescent="0.35">
      <c r="A4" s="2">
        <v>45</v>
      </c>
      <c r="B4" s="2">
        <v>24786</v>
      </c>
      <c r="C4" s="2" t="s">
        <v>29</v>
      </c>
      <c r="D4" s="6">
        <v>0</v>
      </c>
      <c r="E4" s="2"/>
      <c r="F4" s="2">
        <v>1</v>
      </c>
      <c r="G4" s="2">
        <v>1</v>
      </c>
      <c r="H4" s="2">
        <v>0</v>
      </c>
      <c r="I4" s="6">
        <f>D4</f>
        <v>0</v>
      </c>
      <c r="J4" s="2">
        <f>A4</f>
        <v>45</v>
      </c>
      <c r="K4" s="2">
        <f>B4</f>
        <v>24786</v>
      </c>
      <c r="L4" s="2"/>
      <c r="M4" t="s">
        <v>30</v>
      </c>
      <c r="N4" s="7">
        <f>COUNT(F4:F18)</f>
        <v>15</v>
      </c>
      <c r="P4">
        <f>EXP(SUMPRODUCT(F4:I4,F$20:I$20))</f>
        <v>1.4407568391957806E-3</v>
      </c>
      <c r="Q4">
        <f>P4*K4</f>
        <v>35.710599016306617</v>
      </c>
      <c r="R4">
        <f>J4*LN(Q4)</f>
        <v>160.89513911708349</v>
      </c>
      <c r="S4">
        <f>LN(FACT(J4))</f>
        <v>129.12393363912722</v>
      </c>
      <c r="T4">
        <f>J4*LN(J4)</f>
        <v>171.29981203966437</v>
      </c>
      <c r="U4">
        <f>J4*LN(B4)</f>
        <v>455.31154154811685</v>
      </c>
      <c r="V4">
        <v>1</v>
      </c>
      <c r="W4">
        <f>J4-Q4</f>
        <v>9.2894009836933833</v>
      </c>
      <c r="X4">
        <f>W4/SQRT(Q4)</f>
        <v>1.5544943300866672</v>
      </c>
      <c r="Y4">
        <f t="shared" ref="Y4:Y18" si="0">SIGN(W4)*SQRT(2*(J4*LN(J4/Q4)-W4))</f>
        <v>1.4935005449530339</v>
      </c>
      <c r="Z4" t="e">
        <f ca="1">X4/SQRT(1-AB4)</f>
        <v>#NAME?</v>
      </c>
      <c r="AA4" t="e">
        <f ca="1">Y4/SQRT(1-AB4)</f>
        <v>#NAME?</v>
      </c>
      <c r="AB4" t="e">
        <f t="shared" ref="AB4:AB18" ca="1" si="1">AS24</f>
        <v>#NAME?</v>
      </c>
      <c r="AC4">
        <v>1</v>
      </c>
      <c r="AD4" s="2">
        <f>J4</f>
        <v>45</v>
      </c>
      <c r="AE4">
        <f t="shared" ref="AE4:AE18" si="2">Q4</f>
        <v>35.710599016306617</v>
      </c>
      <c r="AF4">
        <f t="array" ref="AF4">Q4*SQRT(MMULT(MMULT(F4:I4,$F$23:$I$26),TRANSPOSE(F4:I4)))</f>
        <v>2.8821327790842686</v>
      </c>
      <c r="AG4">
        <f t="shared" ref="AG4:AG18" si="3">AE4-AF4*N$9</f>
        <v>30.061722570639116</v>
      </c>
      <c r="AH4">
        <f t="shared" ref="AH4:AH18" si="4">AE4+AF4*N$9</f>
        <v>41.359475461974114</v>
      </c>
      <c r="AI4" s="3">
        <f t="shared" ref="AI4:AI18" si="5">P4/P$14</f>
        <v>2.1481161787313416</v>
      </c>
      <c r="AK4" s="2">
        <v>1</v>
      </c>
      <c r="AL4" s="2">
        <v>1</v>
      </c>
      <c r="AM4" s="2">
        <v>0</v>
      </c>
      <c r="AN4" s="8">
        <v>1.25</v>
      </c>
      <c r="AO4" s="2">
        <v>10000</v>
      </c>
      <c r="AP4">
        <f>AO4*EXP(SUMPRODUCT(AK4:AN4,F$20:I$20))</f>
        <v>37.540654092158967</v>
      </c>
      <c r="AQ4">
        <f t="array" ref="AQ4">AP4*SQRT(MMULT(MMULT(AK4:AN4,$F$23:$I$26),TRANSPOSE(AK4:AN4)))</f>
        <v>1.8535852484660782</v>
      </c>
      <c r="AR4">
        <f>AP4-AQ4*N$9</f>
        <v>33.90769376289073</v>
      </c>
      <c r="AS4">
        <f>AP4+AQ4*N$9</f>
        <v>41.173614421427203</v>
      </c>
    </row>
    <row r="5" spans="1:60" x14ac:dyDescent="0.35">
      <c r="A5" s="2">
        <v>77</v>
      </c>
      <c r="B5" s="2">
        <v>32125</v>
      </c>
      <c r="C5" s="2" t="s">
        <v>29</v>
      </c>
      <c r="D5" s="6">
        <v>0.5</v>
      </c>
      <c r="E5" s="2"/>
      <c r="F5" s="2">
        <v>1</v>
      </c>
      <c r="G5" s="2">
        <v>1</v>
      </c>
      <c r="H5" s="2">
        <v>0</v>
      </c>
      <c r="I5" s="6">
        <f>D5</f>
        <v>0.5</v>
      </c>
      <c r="J5" s="2">
        <f t="shared" ref="J5:K18" si="6">A5</f>
        <v>77</v>
      </c>
      <c r="K5" s="2">
        <f>B5</f>
        <v>32125</v>
      </c>
      <c r="L5" s="2"/>
      <c r="M5" t="s">
        <v>31</v>
      </c>
      <c r="N5" s="9">
        <f>COUNTA(F3:I3)</f>
        <v>4</v>
      </c>
      <c r="P5">
        <f t="shared" ref="P5:P18" si="7">EXP(SUMPRODUCT(F5:I5,F$20:I$20))</f>
        <v>2.1132707794832774E-3</v>
      </c>
      <c r="Q5">
        <f t="shared" ref="Q5:Q18" si="8">P5*B5</f>
        <v>67.88882379090029</v>
      </c>
      <c r="R5">
        <f t="shared" ref="R5:R18" si="9">A5*LN(Q5)</f>
        <v>324.77609956674502</v>
      </c>
      <c r="S5">
        <f t="shared" ref="S5:S18" si="10">LN(FACT(J5))</f>
        <v>260.56494097186322</v>
      </c>
      <c r="T5">
        <f t="shared" ref="T5:T18" si="11">J5*LN(J5)</f>
        <v>334.47301748273367</v>
      </c>
      <c r="U5">
        <f t="shared" ref="U5:U18" si="12">J5*LN(B5)</f>
        <v>799.05901630920914</v>
      </c>
      <c r="V5">
        <v>2</v>
      </c>
      <c r="W5">
        <f t="shared" ref="W5:W18" si="13">J5-Q5</f>
        <v>9.1111762090997104</v>
      </c>
      <c r="X5">
        <f t="shared" ref="X5:X18" si="14">W5/SQRT(Q5)</f>
        <v>1.1057967361361869</v>
      </c>
      <c r="Y5">
        <f t="shared" si="0"/>
        <v>1.0823508736901701</v>
      </c>
      <c r="Z5" t="e">
        <f t="shared" ref="Z4:Z18" ca="1" si="15">X5/SQRT(1-AB5)</f>
        <v>#NAME?</v>
      </c>
      <c r="AA5" t="e">
        <f t="shared" ref="AA5:AA19" ca="1" si="16">Y5/SQRT(1-AB5)</f>
        <v>#NAME?</v>
      </c>
      <c r="AB5" t="e">
        <f t="shared" ca="1" si="1"/>
        <v>#NAME?</v>
      </c>
      <c r="AC5">
        <v>2</v>
      </c>
      <c r="AD5" s="2">
        <f t="shared" ref="AD5:AD18" si="17">J5</f>
        <v>77</v>
      </c>
      <c r="AE5">
        <f t="shared" si="2"/>
        <v>67.88882379090029</v>
      </c>
      <c r="AF5">
        <f t="array" ref="AF5">Q5*SQRT(MMULT(MMULT(F5:I5,$F$23:$I$26),TRANSPOSE(F5:I5)))</f>
        <v>4.1846744451522442</v>
      </c>
      <c r="AG5">
        <f t="shared" si="3"/>
        <v>59.687012591376757</v>
      </c>
      <c r="AH5">
        <f t="shared" si="4"/>
        <v>76.090634990423823</v>
      </c>
      <c r="AI5" s="3">
        <f t="shared" si="5"/>
        <v>3.1508100658971463</v>
      </c>
      <c r="AK5" s="2">
        <v>1</v>
      </c>
      <c r="AL5" s="2">
        <v>0</v>
      </c>
      <c r="AM5" s="2">
        <v>0</v>
      </c>
      <c r="AN5" s="6">
        <v>0.1</v>
      </c>
      <c r="AO5" s="2">
        <v>10000</v>
      </c>
      <c r="AP5">
        <f>AO5*EXP(SUMPRODUCT(AK5:AN5,F$20:I$20))</f>
        <v>7.2411211795154458</v>
      </c>
      <c r="AQ5">
        <f t="array" ref="AQ5">AP5*SQRT(MMULT(MMULT(AK5:AN5,$F$23:$I$26),TRANSPOSE(AK5:AN5)))</f>
        <v>0.61952215289184343</v>
      </c>
      <c r="AR5">
        <f>AP5-AQ5*N$9</f>
        <v>6.026880072222716</v>
      </c>
      <c r="AS5">
        <f>AP5+AQ5*N$9</f>
        <v>8.4553622868081746</v>
      </c>
    </row>
    <row r="6" spans="1:60" x14ac:dyDescent="0.35">
      <c r="A6" s="2">
        <v>95</v>
      </c>
      <c r="B6" s="2">
        <v>34706</v>
      </c>
      <c r="C6" s="2" t="s">
        <v>29</v>
      </c>
      <c r="D6" s="6">
        <v>1</v>
      </c>
      <c r="E6" s="2"/>
      <c r="F6" s="2">
        <v>1</v>
      </c>
      <c r="G6" s="2">
        <v>1</v>
      </c>
      <c r="H6" s="2">
        <v>0</v>
      </c>
      <c r="I6" s="6">
        <f t="shared" ref="I6:I18" si="18">D6</f>
        <v>1</v>
      </c>
      <c r="J6" s="2">
        <f t="shared" si="6"/>
        <v>95</v>
      </c>
      <c r="K6" s="2">
        <f t="shared" si="6"/>
        <v>34706</v>
      </c>
      <c r="L6" s="2"/>
      <c r="M6" t="s">
        <v>32</v>
      </c>
      <c r="N6" s="10">
        <f>N4-N5</f>
        <v>11</v>
      </c>
      <c r="P6">
        <f t="shared" si="7"/>
        <v>3.0996995925493564E-3</v>
      </c>
      <c r="Q6">
        <f t="shared" si="8"/>
        <v>107.57817405901797</v>
      </c>
      <c r="R6">
        <f t="shared" si="9"/>
        <v>444.43068946427934</v>
      </c>
      <c r="S6">
        <f t="shared" si="10"/>
        <v>340.81505887079902</v>
      </c>
      <c r="T6">
        <f t="shared" si="11"/>
        <v>432.61830470205138</v>
      </c>
      <c r="U6">
        <f t="shared" si="12"/>
        <v>993.19344685679266</v>
      </c>
      <c r="V6">
        <v>3</v>
      </c>
      <c r="W6">
        <f t="shared" si="13"/>
        <v>-12.578174059017968</v>
      </c>
      <c r="X6">
        <f t="shared" si="14"/>
        <v>-1.2127059711041739</v>
      </c>
      <c r="Y6">
        <f t="shared" si="0"/>
        <v>-1.2375696318107059</v>
      </c>
      <c r="Z6" t="e">
        <f t="shared" ca="1" si="15"/>
        <v>#NAME?</v>
      </c>
      <c r="AA6" t="e">
        <f t="shared" ca="1" si="16"/>
        <v>#NAME?</v>
      </c>
      <c r="AB6" t="e">
        <f t="shared" ca="1" si="1"/>
        <v>#NAME?</v>
      </c>
      <c r="AC6">
        <v>3</v>
      </c>
      <c r="AD6" s="2">
        <f t="shared" si="17"/>
        <v>95</v>
      </c>
      <c r="AE6">
        <f t="shared" si="2"/>
        <v>107.57817405901797</v>
      </c>
      <c r="AF6">
        <f t="array" ref="AF6">Q6*SQRT(MMULT(MMULT(F6:I6,$F$23:$I$26),TRANSPOSE(F6:I6)))</f>
        <v>5.4115929200815387</v>
      </c>
      <c r="AG6">
        <f t="shared" si="3"/>
        <v>96.97164683666621</v>
      </c>
      <c r="AH6">
        <f t="shared" si="4"/>
        <v>118.18470128136973</v>
      </c>
      <c r="AI6" s="3">
        <f t="shared" si="5"/>
        <v>4.6215396400123643</v>
      </c>
      <c r="AK6" s="11">
        <v>1</v>
      </c>
      <c r="AL6" s="11">
        <v>0</v>
      </c>
      <c r="AM6" s="11">
        <v>0</v>
      </c>
      <c r="AN6" s="12">
        <v>2</v>
      </c>
      <c r="AO6" s="11">
        <v>10000</v>
      </c>
      <c r="AP6" s="13">
        <f>AO6*EXP(SUMPRODUCT(AK6:AN6,F$20:I$20))</f>
        <v>31.044935119136873</v>
      </c>
      <c r="AQ6" s="13">
        <f t="array" ref="AQ6">AP6*SQRT(MMULT(MMULT(AK6:AN6,$F$23:$I$26),TRANSPOSE(AK6:AN6)))</f>
        <v>2.3680303408435992</v>
      </c>
      <c r="AR6" s="13">
        <f>AP6-AQ6*N$9</f>
        <v>26.40368093678531</v>
      </c>
      <c r="AS6" s="13">
        <f>AP6+AQ6*N$9</f>
        <v>35.686189301488433</v>
      </c>
    </row>
    <row r="7" spans="1:60" x14ac:dyDescent="0.35">
      <c r="A7" s="2">
        <v>92</v>
      </c>
      <c r="B7" s="2">
        <v>23440</v>
      </c>
      <c r="C7" s="2" t="s">
        <v>29</v>
      </c>
      <c r="D7" s="6">
        <v>1.5</v>
      </c>
      <c r="E7" s="2"/>
      <c r="F7" s="2">
        <v>1</v>
      </c>
      <c r="G7" s="2">
        <v>1</v>
      </c>
      <c r="H7" s="2">
        <v>0</v>
      </c>
      <c r="I7" s="6">
        <f t="shared" si="18"/>
        <v>1.5</v>
      </c>
      <c r="J7" s="2">
        <f t="shared" si="6"/>
        <v>92</v>
      </c>
      <c r="K7" s="2">
        <f t="shared" si="6"/>
        <v>23440</v>
      </c>
      <c r="L7" s="2"/>
      <c r="P7">
        <f t="shared" si="7"/>
        <v>4.5465719099186909E-3</v>
      </c>
      <c r="Q7">
        <f t="shared" si="8"/>
        <v>106.57164556849412</v>
      </c>
      <c r="R7">
        <f t="shared" si="9"/>
        <v>429.53120883269196</v>
      </c>
      <c r="S7">
        <f t="shared" si="10"/>
        <v>327.1852877037752</v>
      </c>
      <c r="T7">
        <f t="shared" si="11"/>
        <v>416.00454908851174</v>
      </c>
      <c r="U7">
        <f t="shared" si="12"/>
        <v>925.72233041956736</v>
      </c>
      <c r="V7">
        <v>4</v>
      </c>
      <c r="W7">
        <f t="shared" si="13"/>
        <v>-14.57164556849412</v>
      </c>
      <c r="X7">
        <f t="shared" si="14"/>
        <v>-1.4115223635684773</v>
      </c>
      <c r="Y7">
        <f t="shared" si="0"/>
        <v>-1.4456734239197213</v>
      </c>
      <c r="Z7" t="e">
        <f t="shared" ca="1" si="15"/>
        <v>#NAME?</v>
      </c>
      <c r="AA7" t="e">
        <f t="shared" ca="1" si="16"/>
        <v>#NAME?</v>
      </c>
      <c r="AB7" t="e">
        <f t="shared" ca="1" si="1"/>
        <v>#NAME?</v>
      </c>
      <c r="AC7">
        <v>4</v>
      </c>
      <c r="AD7" s="2">
        <f t="shared" si="17"/>
        <v>92</v>
      </c>
      <c r="AE7">
        <f t="shared" si="2"/>
        <v>106.57164556849412</v>
      </c>
      <c r="AF7">
        <f t="array" ref="AF7">Q7*SQRT(MMULT(MMULT(F7:I7,$F$23:$I$26),TRANSPOSE(F7:I7)))</f>
        <v>5.5444944826495455</v>
      </c>
      <c r="AG7">
        <f t="shared" si="3"/>
        <v>95.704636070019973</v>
      </c>
      <c r="AH7">
        <f t="shared" si="4"/>
        <v>117.43865506696827</v>
      </c>
      <c r="AI7" s="3">
        <f t="shared" si="5"/>
        <v>6.7787737748400465</v>
      </c>
      <c r="AK7" s="2">
        <v>1</v>
      </c>
      <c r="AL7" s="2">
        <v>1</v>
      </c>
      <c r="AM7" s="2">
        <v>0</v>
      </c>
      <c r="AN7" s="2">
        <v>0</v>
      </c>
      <c r="AO7" s="2">
        <v>10000</v>
      </c>
      <c r="AP7">
        <f>AO7*EXP(SUMPRODUCT(AK7:AN7,F$20:I$20))</f>
        <v>14.407568391957806</v>
      </c>
      <c r="AQ7">
        <f t="array" ref="AQ7">AP7*SQRT(MMULT(MMULT(AK7:AN7,$F$23:$I$26),TRANSPOSE(AK7:AN7)))</f>
        <v>1.1628067373050386</v>
      </c>
      <c r="AR7">
        <f>AP7-AQ7*N$9</f>
        <v>12.128509065859404</v>
      </c>
      <c r="AS7">
        <f>AP7+AQ7*N$9</f>
        <v>16.686627718056208</v>
      </c>
      <c r="AU7" s="2" t="s">
        <v>27</v>
      </c>
    </row>
    <row r="8" spans="1:60" x14ac:dyDescent="0.35">
      <c r="A8" s="2">
        <v>103</v>
      </c>
      <c r="B8" s="2">
        <v>14133</v>
      </c>
      <c r="C8" s="2" t="s">
        <v>29</v>
      </c>
      <c r="D8" s="6">
        <v>2</v>
      </c>
      <c r="E8" s="2"/>
      <c r="F8" s="2">
        <v>1</v>
      </c>
      <c r="G8" s="2">
        <v>1</v>
      </c>
      <c r="H8" s="2">
        <v>0</v>
      </c>
      <c r="I8" s="6">
        <f t="shared" si="18"/>
        <v>2</v>
      </c>
      <c r="J8" s="2">
        <f t="shared" si="6"/>
        <v>103</v>
      </c>
      <c r="K8" s="2">
        <f t="shared" si="6"/>
        <v>14133</v>
      </c>
      <c r="L8" s="2"/>
      <c r="M8" t="s">
        <v>33</v>
      </c>
      <c r="N8" s="7">
        <v>0.05</v>
      </c>
      <c r="P8">
        <f t="shared" si="7"/>
        <v>6.6688127397082735E-3</v>
      </c>
      <c r="Q8">
        <f t="shared" si="8"/>
        <v>94.250330450297028</v>
      </c>
      <c r="R8">
        <f t="shared" si="9"/>
        <v>468.23329623986984</v>
      </c>
      <c r="S8">
        <f t="shared" si="10"/>
        <v>377.61419787391867</v>
      </c>
      <c r="T8">
        <f t="shared" si="11"/>
        <v>477.3770857876525</v>
      </c>
      <c r="U8">
        <f t="shared" si="12"/>
        <v>984.29558003891964</v>
      </c>
      <c r="V8">
        <v>5</v>
      </c>
      <c r="W8">
        <f t="shared" si="13"/>
        <v>8.7496695497029719</v>
      </c>
      <c r="X8">
        <f t="shared" si="14"/>
        <v>0.90126023652608001</v>
      </c>
      <c r="Y8">
        <f t="shared" si="0"/>
        <v>0.88782881016517412</v>
      </c>
      <c r="Z8" t="e">
        <f t="shared" ca="1" si="15"/>
        <v>#NAME?</v>
      </c>
      <c r="AA8" t="e">
        <f t="shared" ca="1" si="16"/>
        <v>#NAME?</v>
      </c>
      <c r="AB8" t="e">
        <f t="shared" ca="1" si="1"/>
        <v>#NAME?</v>
      </c>
      <c r="AC8">
        <v>5</v>
      </c>
      <c r="AD8" s="2">
        <f t="shared" si="17"/>
        <v>103</v>
      </c>
      <c r="AE8">
        <f t="shared" si="2"/>
        <v>94.250330450297028</v>
      </c>
      <c r="AF8">
        <f t="array" ref="AF8">Q8*SQRT(MMULT(MMULT(F8:I8,$F$23:$I$26),TRANSPOSE(F8:I8)))</f>
        <v>6.2006323631295555</v>
      </c>
      <c r="AG8">
        <f t="shared" si="3"/>
        <v>82.097314337189616</v>
      </c>
      <c r="AH8">
        <f t="shared" si="4"/>
        <v>106.40334656340444</v>
      </c>
      <c r="AI8" s="3">
        <f t="shared" si="5"/>
        <v>9.9429578603238458</v>
      </c>
      <c r="AK8" s="11">
        <v>1</v>
      </c>
      <c r="AL8" s="11">
        <v>0</v>
      </c>
      <c r="AM8" s="11">
        <v>0</v>
      </c>
      <c r="AN8" s="11">
        <v>0</v>
      </c>
      <c r="AO8" s="11">
        <v>10000</v>
      </c>
      <c r="AP8" s="13">
        <f>AO8*EXP(SUMPRODUCT(AK8:AN8,F$20:I$20))</f>
        <v>6.7070713095540242</v>
      </c>
      <c r="AQ8" s="13">
        <f t="array" ref="AQ8">AP8*SQRT(MMULT(MMULT(AK8:AN8,$F$23:$I$26),TRANSPOSE(AK8:AN8)))</f>
        <v>0.5990350359078277</v>
      </c>
      <c r="AR8" s="13">
        <f>AP8-AQ8*N$9</f>
        <v>5.5329842136970244</v>
      </c>
      <c r="AS8" s="13">
        <f>AP8+AQ8*N$9</f>
        <v>7.881158405411024</v>
      </c>
      <c r="AU8" s="14">
        <f>AP7/AP8</f>
        <v>2.1481161787313416</v>
      </c>
    </row>
    <row r="9" spans="1:60" x14ac:dyDescent="0.35">
      <c r="A9" s="2">
        <v>12</v>
      </c>
      <c r="B9" s="2">
        <v>11946</v>
      </c>
      <c r="C9" s="2" t="s">
        <v>34</v>
      </c>
      <c r="D9" s="6">
        <v>0</v>
      </c>
      <c r="E9" s="2"/>
      <c r="F9" s="2">
        <v>1</v>
      </c>
      <c r="G9" s="2">
        <v>0</v>
      </c>
      <c r="H9" s="2">
        <v>1</v>
      </c>
      <c r="I9" s="6">
        <f t="shared" si="18"/>
        <v>0</v>
      </c>
      <c r="J9" s="2">
        <f t="shared" si="6"/>
        <v>12</v>
      </c>
      <c r="K9" s="2">
        <f t="shared" si="6"/>
        <v>11946</v>
      </c>
      <c r="L9" s="2"/>
      <c r="M9" t="s">
        <v>35</v>
      </c>
      <c r="N9" s="10">
        <f>NORMSINV(1-N8/2)</f>
        <v>1.9599639845400536</v>
      </c>
      <c r="P9">
        <f t="shared" si="7"/>
        <v>9.8938258859751645E-4</v>
      </c>
      <c r="Q9">
        <f t="shared" si="8"/>
        <v>11.819164403385932</v>
      </c>
      <c r="R9">
        <f t="shared" si="9"/>
        <v>29.636667792313023</v>
      </c>
      <c r="S9">
        <f t="shared" si="10"/>
        <v>19.987214495661885</v>
      </c>
      <c r="T9">
        <f t="shared" si="11"/>
        <v>29.818879797456006</v>
      </c>
      <c r="U9">
        <f t="shared" si="12"/>
        <v>112.65782127950703</v>
      </c>
      <c r="V9">
        <v>6</v>
      </c>
      <c r="W9">
        <f t="shared" si="13"/>
        <v>0.18083559661406845</v>
      </c>
      <c r="X9">
        <f t="shared" si="14"/>
        <v>5.2600580431033626E-2</v>
      </c>
      <c r="Y9">
        <f t="shared" si="0"/>
        <v>5.2467295125865863E-2</v>
      </c>
      <c r="Z9" t="e">
        <f t="shared" ca="1" si="15"/>
        <v>#NAME?</v>
      </c>
      <c r="AA9" t="e">
        <f t="shared" ca="1" si="16"/>
        <v>#NAME?</v>
      </c>
      <c r="AB9" t="e">
        <f t="shared" ca="1" si="1"/>
        <v>#NAME?</v>
      </c>
      <c r="AC9">
        <v>6</v>
      </c>
      <c r="AD9" s="2">
        <f t="shared" si="17"/>
        <v>12</v>
      </c>
      <c r="AE9">
        <f t="shared" si="2"/>
        <v>11.819164403385932</v>
      </c>
      <c r="AF9">
        <f t="array" ref="AF9">Q9*SQRT(MMULT(MMULT(F9:I9,$F$23:$I$26),TRANSPOSE(F9:I9)))</f>
        <v>1.2022208176335716</v>
      </c>
      <c r="AG9">
        <f t="shared" si="3"/>
        <v>9.4628548993598365</v>
      </c>
      <c r="AH9">
        <f t="shared" si="4"/>
        <v>14.175473907412027</v>
      </c>
      <c r="AI9" s="3">
        <f t="shared" si="5"/>
        <v>1.4751335462740203</v>
      </c>
    </row>
    <row r="10" spans="1:60" x14ac:dyDescent="0.35">
      <c r="A10" s="2">
        <v>29</v>
      </c>
      <c r="B10" s="2">
        <v>22782</v>
      </c>
      <c r="C10" s="2" t="s">
        <v>34</v>
      </c>
      <c r="D10" s="6">
        <v>0.5</v>
      </c>
      <c r="E10" s="2"/>
      <c r="F10" s="2">
        <v>1</v>
      </c>
      <c r="G10" s="2">
        <v>0</v>
      </c>
      <c r="H10" s="2">
        <v>1</v>
      </c>
      <c r="I10" s="6">
        <f t="shared" si="18"/>
        <v>0.5</v>
      </c>
      <c r="J10" s="2">
        <f t="shared" si="6"/>
        <v>29</v>
      </c>
      <c r="K10" s="2">
        <f t="shared" si="6"/>
        <v>22782</v>
      </c>
      <c r="L10" s="2"/>
      <c r="P10">
        <f t="shared" si="7"/>
        <v>1.4512048510418618E-3</v>
      </c>
      <c r="Q10">
        <f t="shared" si="8"/>
        <v>33.061348916435698</v>
      </c>
      <c r="R10">
        <f t="shared" si="9"/>
        <v>101.45258191528571</v>
      </c>
      <c r="S10">
        <f t="shared" si="10"/>
        <v>71.257038967168015</v>
      </c>
      <c r="T10">
        <f t="shared" si="11"/>
        <v>97.651579069607749</v>
      </c>
      <c r="U10">
        <f t="shared" si="12"/>
        <v>290.97805485433582</v>
      </c>
      <c r="V10">
        <v>7</v>
      </c>
      <c r="W10">
        <f t="shared" si="13"/>
        <v>-4.0613489164356977</v>
      </c>
      <c r="X10">
        <f t="shared" si="14"/>
        <v>-0.70633384643279906</v>
      </c>
      <c r="Y10">
        <f t="shared" si="0"/>
        <v>-0.72159000929577399</v>
      </c>
      <c r="Z10" t="e">
        <f t="shared" ca="1" si="15"/>
        <v>#NAME?</v>
      </c>
      <c r="AA10" t="e">
        <f t="shared" ca="1" si="16"/>
        <v>#NAME?</v>
      </c>
      <c r="AB10" t="e">
        <f t="shared" ca="1" si="1"/>
        <v>#NAME?</v>
      </c>
      <c r="AC10">
        <v>7</v>
      </c>
      <c r="AD10" s="2">
        <f t="shared" si="17"/>
        <v>29</v>
      </c>
      <c r="AE10">
        <f t="shared" si="2"/>
        <v>33.061348916435698</v>
      </c>
      <c r="AF10">
        <f t="array" ref="AF10">Q10*SQRT(MMULT(MMULT(F10:I10,$F$23:$I$26),TRANSPOSE(F10:I10)))</f>
        <v>2.8561577523688406</v>
      </c>
      <c r="AG10">
        <f t="shared" si="3"/>
        <v>27.463382587627901</v>
      </c>
      <c r="AH10">
        <f t="shared" si="4"/>
        <v>38.659315245243491</v>
      </c>
      <c r="AI10" s="3">
        <f t="shared" si="5"/>
        <v>2.1636937853555596</v>
      </c>
      <c r="AL10" t="e">
        <f ca="1">FTEXT(AP13)</f>
        <v>#NAME?</v>
      </c>
      <c r="AR10" t="e">
        <f ca="1">FTEXT(AV13)</f>
        <v>#NAME?</v>
      </c>
      <c r="BA10" t="e">
        <f ca="1">FTEXT(BE13)</f>
        <v>#NAME?</v>
      </c>
    </row>
    <row r="11" spans="1:60" x14ac:dyDescent="0.35">
      <c r="A11" s="2">
        <v>31</v>
      </c>
      <c r="B11" s="2">
        <v>14566</v>
      </c>
      <c r="C11" s="2" t="s">
        <v>34</v>
      </c>
      <c r="D11" s="6">
        <v>1</v>
      </c>
      <c r="E11" s="2"/>
      <c r="F11" s="2">
        <v>1</v>
      </c>
      <c r="G11" s="2">
        <v>0</v>
      </c>
      <c r="H11" s="2">
        <v>1</v>
      </c>
      <c r="I11" s="6">
        <f t="shared" si="18"/>
        <v>1</v>
      </c>
      <c r="J11" s="2">
        <f t="shared" si="6"/>
        <v>31</v>
      </c>
      <c r="K11" s="2">
        <f t="shared" si="6"/>
        <v>14566</v>
      </c>
      <c r="L11" s="2"/>
      <c r="M11" s="15" t="s">
        <v>36</v>
      </c>
      <c r="N11" s="14">
        <f>J19/K19</f>
        <v>2.2004710424305368E-3</v>
      </c>
      <c r="P11">
        <f t="shared" si="7"/>
        <v>2.1285956959003626E-3</v>
      </c>
      <c r="Q11">
        <f t="shared" si="8"/>
        <v>31.005124906484681</v>
      </c>
      <c r="R11">
        <f t="shared" si="9"/>
        <v>106.45872782194725</v>
      </c>
      <c r="S11">
        <f t="shared" si="10"/>
        <v>78.092223553315307</v>
      </c>
      <c r="T11">
        <f t="shared" si="11"/>
        <v>106.45360333903953</v>
      </c>
      <c r="U11">
        <f t="shared" si="12"/>
        <v>297.17980506811369</v>
      </c>
      <c r="V11">
        <v>8</v>
      </c>
      <c r="W11">
        <f t="shared" si="13"/>
        <v>-5.1249064846814463E-3</v>
      </c>
      <c r="X11">
        <f t="shared" si="14"/>
        <v>-9.2038430141853391E-4</v>
      </c>
      <c r="Y11">
        <f t="shared" si="0"/>
        <v>-9.2040965968929241E-4</v>
      </c>
      <c r="Z11" t="e">
        <f t="shared" ca="1" si="15"/>
        <v>#NAME?</v>
      </c>
      <c r="AA11" t="e">
        <f t="shared" ca="1" si="16"/>
        <v>#NAME?</v>
      </c>
      <c r="AB11" t="e">
        <f t="shared" ca="1" si="1"/>
        <v>#NAME?</v>
      </c>
      <c r="AC11">
        <v>8</v>
      </c>
      <c r="AD11" s="2">
        <f t="shared" si="17"/>
        <v>31</v>
      </c>
      <c r="AE11">
        <f t="shared" si="2"/>
        <v>31.005124906484681</v>
      </c>
      <c r="AF11">
        <f t="array" ref="AF11">Q11*SQRT(MMULT(MMULT(F11:I11,$F$23:$I$26),TRANSPOSE(F11:I11)))</f>
        <v>2.4066566833287779</v>
      </c>
      <c r="AG11">
        <f t="shared" si="3"/>
        <v>26.288164484007659</v>
      </c>
      <c r="AH11">
        <f t="shared" si="4"/>
        <v>35.722085328961704</v>
      </c>
      <c r="AI11" s="3">
        <f t="shared" si="5"/>
        <v>3.1736589603099064</v>
      </c>
    </row>
    <row r="12" spans="1:60" x14ac:dyDescent="0.35">
      <c r="A12" s="2">
        <v>43</v>
      </c>
      <c r="B12" s="2">
        <v>15654</v>
      </c>
      <c r="C12" s="2" t="s">
        <v>34</v>
      </c>
      <c r="D12" s="6">
        <v>1.5</v>
      </c>
      <c r="E12" s="2"/>
      <c r="F12" s="2">
        <v>1</v>
      </c>
      <c r="G12" s="2">
        <v>0</v>
      </c>
      <c r="H12" s="2">
        <v>1</v>
      </c>
      <c r="I12" s="6">
        <f t="shared" si="18"/>
        <v>1.5</v>
      </c>
      <c r="J12" s="2">
        <f t="shared" si="6"/>
        <v>43</v>
      </c>
      <c r="K12" s="2">
        <f t="shared" si="6"/>
        <v>15654</v>
      </c>
      <c r="L12" s="2"/>
      <c r="O12" s="2"/>
      <c r="P12">
        <f t="shared" si="7"/>
        <v>3.1221778464650737E-3</v>
      </c>
      <c r="Q12">
        <f t="shared" si="8"/>
        <v>48.874572008564265</v>
      </c>
      <c r="R12">
        <f t="shared" si="9"/>
        <v>167.23806224059425</v>
      </c>
      <c r="S12">
        <f t="shared" si="10"/>
        <v>121.53308151543864</v>
      </c>
      <c r="T12">
        <f t="shared" si="11"/>
        <v>161.73160497482317</v>
      </c>
      <c r="U12">
        <f t="shared" si="12"/>
        <v>415.31471543768572</v>
      </c>
      <c r="V12">
        <v>9</v>
      </c>
      <c r="W12">
        <f t="shared" si="13"/>
        <v>-5.8745720085642645</v>
      </c>
      <c r="X12">
        <f t="shared" si="14"/>
        <v>-0.84030074376150488</v>
      </c>
      <c r="Y12">
        <f t="shared" si="0"/>
        <v>-0.85803816091502294</v>
      </c>
      <c r="Z12" t="e">
        <f t="shared" ca="1" si="15"/>
        <v>#NAME?</v>
      </c>
      <c r="AA12" t="e">
        <f t="shared" ca="1" si="16"/>
        <v>#NAME?</v>
      </c>
      <c r="AB12" t="e">
        <f t="shared" ca="1" si="1"/>
        <v>#NAME?</v>
      </c>
      <c r="AC12">
        <v>9</v>
      </c>
      <c r="AD12" s="2">
        <f t="shared" si="17"/>
        <v>43</v>
      </c>
      <c r="AE12">
        <f t="shared" si="2"/>
        <v>48.874572008564265</v>
      </c>
      <c r="AF12">
        <f t="array" ref="AF12">Q12*SQRT(MMULT(MMULT(F12:I12,$F$23:$I$26),TRANSPOSE(F12:I12)))</f>
        <v>3.7959553329654363</v>
      </c>
      <c r="AG12">
        <f t="shared" si="3"/>
        <v>41.434636269029262</v>
      </c>
      <c r="AH12">
        <f t="shared" si="4"/>
        <v>56.314507748099267</v>
      </c>
      <c r="AI12" s="3">
        <f t="shared" si="5"/>
        <v>4.6550539011231677</v>
      </c>
      <c r="AL12" s="4" t="s">
        <v>6</v>
      </c>
      <c r="AM12" s="4" t="s">
        <v>7</v>
      </c>
      <c r="AN12" s="4" t="s">
        <v>4</v>
      </c>
      <c r="AO12" s="4" t="s">
        <v>2</v>
      </c>
      <c r="AP12" s="4" t="s">
        <v>23</v>
      </c>
      <c r="AR12" s="4" t="s">
        <v>6</v>
      </c>
      <c r="AS12" s="4" t="s">
        <v>7</v>
      </c>
      <c r="AT12" s="4" t="s">
        <v>4</v>
      </c>
      <c r="AU12" s="4" t="s">
        <v>2</v>
      </c>
      <c r="AV12" s="4" t="e">
        <f t="array" aca="1" ref="AV12:AY15" ca="1">PoissonPredCC(AR13:AT15,$Q$23:$Q$26,$F$23:$I$26,TRUE,AU13)</f>
        <v>#NAME?</v>
      </c>
      <c r="AW12" s="4" t="e">
        <f ca="1"/>
        <v>#NAME?</v>
      </c>
      <c r="AX12" s="4" t="e">
        <f ca="1"/>
        <v>#NAME?</v>
      </c>
      <c r="AY12" s="4" t="e">
        <f ca="1"/>
        <v>#NAME?</v>
      </c>
      <c r="BA12" s="4" t="s">
        <v>6</v>
      </c>
      <c r="BB12" s="4" t="s">
        <v>7</v>
      </c>
      <c r="BC12" s="4" t="s">
        <v>4</v>
      </c>
      <c r="BD12" s="4" t="s">
        <v>2</v>
      </c>
      <c r="BE12" s="4" t="e">
        <f t="array" aca="1" ref="BE12:BH15" ca="1">PoissonPred(BA13:BC15,$G$4:$I$18,$J$4:$J$18,TRUE,BD13:BD15,$K$4:$K$18)</f>
        <v>#NAME?</v>
      </c>
      <c r="BF12" s="4" t="e">
        <f ca="1"/>
        <v>#NAME?</v>
      </c>
      <c r="BG12" s="4" t="e">
        <f ca="1"/>
        <v>#NAME?</v>
      </c>
      <c r="BH12" s="4" t="e">
        <f ca="1"/>
        <v>#NAME?</v>
      </c>
    </row>
    <row r="13" spans="1:60" x14ac:dyDescent="0.35">
      <c r="A13" s="2">
        <v>56</v>
      </c>
      <c r="B13" s="2">
        <v>10097</v>
      </c>
      <c r="C13" s="2" t="s">
        <v>34</v>
      </c>
      <c r="D13" s="6">
        <v>2</v>
      </c>
      <c r="E13" s="2"/>
      <c r="F13" s="2">
        <v>1</v>
      </c>
      <c r="G13" s="2">
        <v>0</v>
      </c>
      <c r="H13" s="2">
        <v>1</v>
      </c>
      <c r="I13" s="6">
        <f t="shared" si="18"/>
        <v>2</v>
      </c>
      <c r="J13" s="2">
        <f t="shared" si="6"/>
        <v>56</v>
      </c>
      <c r="K13" s="2">
        <f t="shared" si="6"/>
        <v>10097</v>
      </c>
      <c r="L13" s="2"/>
      <c r="M13" t="s">
        <v>37</v>
      </c>
      <c r="N13" s="7">
        <f>U19-(1-LN(N11))*J19-S19</f>
        <v>-204.9845812688709</v>
      </c>
      <c r="P13">
        <f t="shared" si="7"/>
        <v>4.5795425236139246E-3</v>
      </c>
      <c r="Q13">
        <f t="shared" si="8"/>
        <v>46.239640860929796</v>
      </c>
      <c r="R13">
        <f t="shared" si="9"/>
        <v>214.69489761919112</v>
      </c>
      <c r="S13">
        <f t="shared" si="10"/>
        <v>172.35279713916279</v>
      </c>
      <c r="T13">
        <f t="shared" si="11"/>
        <v>225.41969468116838</v>
      </c>
      <c r="U13">
        <f t="shared" si="12"/>
        <v>516.31964322424199</v>
      </c>
      <c r="V13">
        <v>10</v>
      </c>
      <c r="W13">
        <f t="shared" si="13"/>
        <v>9.7603591390702036</v>
      </c>
      <c r="X13">
        <f t="shared" si="14"/>
        <v>1.4353525063096912</v>
      </c>
      <c r="Y13">
        <f t="shared" si="0"/>
        <v>1.3888397480681702</v>
      </c>
      <c r="Z13" t="e">
        <f t="shared" ca="1" si="15"/>
        <v>#NAME?</v>
      </c>
      <c r="AA13" t="e">
        <f t="shared" ca="1" si="16"/>
        <v>#NAME?</v>
      </c>
      <c r="AB13" t="e">
        <f t="shared" ca="1" si="1"/>
        <v>#NAME?</v>
      </c>
      <c r="AC13">
        <v>10</v>
      </c>
      <c r="AD13" s="2">
        <f t="shared" si="17"/>
        <v>56</v>
      </c>
      <c r="AE13">
        <f t="shared" si="2"/>
        <v>46.239640860929796</v>
      </c>
      <c r="AF13">
        <f t="array" ref="AF13">Q13*SQRT(MMULT(MMULT(F13:I13,$F$23:$I$26),TRANSPOSE(F13:I13)))</f>
        <v>4.000360410002588</v>
      </c>
      <c r="AG13">
        <f t="shared" si="3"/>
        <v>38.399078532144841</v>
      </c>
      <c r="AH13">
        <f t="shared" si="4"/>
        <v>54.080203189714751</v>
      </c>
      <c r="AI13" s="3">
        <f t="shared" si="5"/>
        <v>6.8279317637349433</v>
      </c>
      <c r="AL13" s="2">
        <v>1</v>
      </c>
      <c r="AM13" s="2">
        <v>0</v>
      </c>
      <c r="AN13" s="8">
        <v>1.25</v>
      </c>
      <c r="AO13" s="2">
        <v>10000</v>
      </c>
      <c r="AP13" t="e">
        <f t="array" aca="1" ref="AP13:AP15" ca="1">PoissonPredC(AL13:AN15,$Q$23:$Q$26,AO13:AO15)</f>
        <v>#NAME?</v>
      </c>
      <c r="AR13" s="2">
        <v>1</v>
      </c>
      <c r="AS13" s="2">
        <v>0</v>
      </c>
      <c r="AT13" s="8">
        <v>1.25</v>
      </c>
      <c r="AU13" s="2">
        <v>10000</v>
      </c>
      <c r="AV13" t="e">
        <f ca="1"/>
        <v>#NAME?</v>
      </c>
      <c r="AW13" t="e">
        <f ca="1"/>
        <v>#NAME?</v>
      </c>
      <c r="AX13" t="e">
        <f ca="1"/>
        <v>#NAME?</v>
      </c>
      <c r="AY13" t="e">
        <f ca="1"/>
        <v>#NAME?</v>
      </c>
      <c r="BA13" s="2">
        <v>1</v>
      </c>
      <c r="BB13" s="2">
        <v>0</v>
      </c>
      <c r="BC13" s="8">
        <v>1.25</v>
      </c>
      <c r="BD13" s="2">
        <v>10000</v>
      </c>
      <c r="BE13" t="e">
        <f ca="1"/>
        <v>#NAME?</v>
      </c>
      <c r="BF13" t="e">
        <f ca="1"/>
        <v>#NAME?</v>
      </c>
      <c r="BG13" t="e">
        <f ca="1"/>
        <v>#NAME?</v>
      </c>
      <c r="BH13" t="e">
        <f ca="1"/>
        <v>#NAME?</v>
      </c>
    </row>
    <row r="14" spans="1:60" x14ac:dyDescent="0.35">
      <c r="A14" s="2">
        <v>30</v>
      </c>
      <c r="B14" s="2">
        <v>50711</v>
      </c>
      <c r="C14" s="2" t="s">
        <v>38</v>
      </c>
      <c r="D14" s="6">
        <v>0</v>
      </c>
      <c r="E14" s="2"/>
      <c r="F14" s="2">
        <v>1</v>
      </c>
      <c r="G14" s="2">
        <v>0</v>
      </c>
      <c r="H14" s="2">
        <v>0</v>
      </c>
      <c r="I14" s="6">
        <f t="shared" si="18"/>
        <v>0</v>
      </c>
      <c r="J14" s="2">
        <f t="shared" si="6"/>
        <v>30</v>
      </c>
      <c r="K14" s="2">
        <f t="shared" si="6"/>
        <v>50711</v>
      </c>
      <c r="L14" s="2"/>
      <c r="M14" t="s">
        <v>39</v>
      </c>
      <c r="N14" s="9">
        <f>R19-Q19-S19</f>
        <v>-48.801720249424761</v>
      </c>
      <c r="P14">
        <f t="shared" si="7"/>
        <v>6.7070713095540243E-4</v>
      </c>
      <c r="Q14">
        <f t="shared" si="8"/>
        <v>34.01222931787941</v>
      </c>
      <c r="R14">
        <f t="shared" si="9"/>
        <v>105.8016043729412</v>
      </c>
      <c r="S14">
        <f t="shared" si="10"/>
        <v>74.658236348830158</v>
      </c>
      <c r="T14">
        <f t="shared" si="11"/>
        <v>102.03592144986466</v>
      </c>
      <c r="U14">
        <f t="shared" si="12"/>
        <v>325.01694385712892</v>
      </c>
      <c r="V14">
        <v>11</v>
      </c>
      <c r="W14">
        <f t="shared" si="13"/>
        <v>-4.0122293178794095</v>
      </c>
      <c r="X14">
        <f t="shared" si="14"/>
        <v>-0.68796793625161134</v>
      </c>
      <c r="Y14">
        <f t="shared" si="0"/>
        <v>-0.70220566047686139</v>
      </c>
      <c r="Z14" t="e">
        <f t="shared" ca="1" si="15"/>
        <v>#NAME?</v>
      </c>
      <c r="AA14" t="e">
        <f t="shared" ca="1" si="16"/>
        <v>#NAME?</v>
      </c>
      <c r="AB14" t="e">
        <f t="shared" ca="1" si="1"/>
        <v>#NAME?</v>
      </c>
      <c r="AC14">
        <v>11</v>
      </c>
      <c r="AD14" s="2">
        <f t="shared" si="17"/>
        <v>30</v>
      </c>
      <c r="AE14">
        <f t="shared" si="2"/>
        <v>34.01222931787941</v>
      </c>
      <c r="AF14">
        <f t="array" ref="AF14">Q14*SQRT(MMULT(MMULT(F14:I14,$F$23:$I$26),TRANSPOSE(F14:I14)))</f>
        <v>3.037766570592185</v>
      </c>
      <c r="AG14">
        <f t="shared" si="3"/>
        <v>28.058316246078977</v>
      </c>
      <c r="AH14">
        <f t="shared" si="4"/>
        <v>39.966142389679845</v>
      </c>
      <c r="AI14" s="3">
        <f t="shared" si="5"/>
        <v>1</v>
      </c>
      <c r="AL14" s="2">
        <v>0</v>
      </c>
      <c r="AM14" s="2">
        <v>0</v>
      </c>
      <c r="AN14" s="6">
        <v>0.1</v>
      </c>
      <c r="AO14" s="2">
        <v>10000</v>
      </c>
      <c r="AP14" t="e">
        <f ca="1"/>
        <v>#NAME?</v>
      </c>
      <c r="AR14" s="2">
        <v>0</v>
      </c>
      <c r="AS14" s="2">
        <v>0</v>
      </c>
      <c r="AT14" s="6">
        <v>0.1</v>
      </c>
      <c r="AU14" s="2">
        <v>10000</v>
      </c>
      <c r="AV14" t="e">
        <f ca="1"/>
        <v>#NAME?</v>
      </c>
      <c r="AW14" t="e">
        <f ca="1"/>
        <v>#NAME?</v>
      </c>
      <c r="AX14" t="e">
        <f ca="1"/>
        <v>#NAME?</v>
      </c>
      <c r="AY14" t="e">
        <f ca="1"/>
        <v>#NAME?</v>
      </c>
      <c r="BA14" s="2">
        <v>0</v>
      </c>
      <c r="BB14" s="2">
        <v>0</v>
      </c>
      <c r="BC14" s="6">
        <v>0.1</v>
      </c>
      <c r="BD14" s="2">
        <v>10000</v>
      </c>
      <c r="BE14" t="e">
        <f ca="1"/>
        <v>#NAME?</v>
      </c>
      <c r="BF14" t="e">
        <f ca="1"/>
        <v>#NAME?</v>
      </c>
      <c r="BG14" t="e">
        <f ca="1"/>
        <v>#NAME?</v>
      </c>
      <c r="BH14" t="e">
        <f ca="1"/>
        <v>#NAME?</v>
      </c>
    </row>
    <row r="15" spans="1:60" x14ac:dyDescent="0.35">
      <c r="A15" s="2">
        <v>36</v>
      </c>
      <c r="B15" s="2">
        <v>35332</v>
      </c>
      <c r="C15" s="2" t="s">
        <v>38</v>
      </c>
      <c r="D15" s="6">
        <v>0.5</v>
      </c>
      <c r="E15" s="2"/>
      <c r="F15" s="2">
        <v>1</v>
      </c>
      <c r="G15" s="2">
        <v>0</v>
      </c>
      <c r="H15" s="2">
        <v>0</v>
      </c>
      <c r="I15" s="6">
        <f t="shared" si="18"/>
        <v>0.5</v>
      </c>
      <c r="J15" s="2">
        <f t="shared" si="6"/>
        <v>36</v>
      </c>
      <c r="K15" s="2">
        <f t="shared" si="6"/>
        <v>35332</v>
      </c>
      <c r="L15" s="2"/>
      <c r="M15" t="s">
        <v>40</v>
      </c>
      <c r="N15" s="9">
        <f>T19-J19-S19</f>
        <v>-42.990199537616718</v>
      </c>
      <c r="P15">
        <f t="shared" si="7"/>
        <v>9.8377862445566452E-4</v>
      </c>
      <c r="Q15">
        <f t="shared" si="8"/>
        <v>34.758866359267536</v>
      </c>
      <c r="R15">
        <f t="shared" si="9"/>
        <v>127.74364871384213</v>
      </c>
      <c r="S15">
        <f t="shared" si="10"/>
        <v>95.719694542143202</v>
      </c>
      <c r="T15">
        <f t="shared" si="11"/>
        <v>129.00668178441995</v>
      </c>
      <c r="U15">
        <f t="shared" si="12"/>
        <v>377.01159652314084</v>
      </c>
      <c r="V15">
        <v>12</v>
      </c>
      <c r="W15">
        <f t="shared" si="13"/>
        <v>1.241133640732464</v>
      </c>
      <c r="X15">
        <f t="shared" si="14"/>
        <v>0.2105163082720575</v>
      </c>
      <c r="Y15">
        <f t="shared" si="0"/>
        <v>0.2092817710425364</v>
      </c>
      <c r="Z15" t="e">
        <f t="shared" ca="1" si="15"/>
        <v>#NAME?</v>
      </c>
      <c r="AA15" t="e">
        <f t="shared" ca="1" si="16"/>
        <v>#NAME?</v>
      </c>
      <c r="AB15" t="e">
        <f t="shared" ca="1" si="1"/>
        <v>#NAME?</v>
      </c>
      <c r="AC15">
        <v>12</v>
      </c>
      <c r="AD15" s="2">
        <f t="shared" si="17"/>
        <v>36</v>
      </c>
      <c r="AE15">
        <f t="shared" si="2"/>
        <v>34.758866359267536</v>
      </c>
      <c r="AF15">
        <f t="array" ref="AF15">Q15*SQRT(MMULT(MMULT(F15:I15,$F$23:$I$26),TRANSPOSE(F15:I15)))</f>
        <v>2.5231716530024717</v>
      </c>
      <c r="AG15">
        <f t="shared" si="3"/>
        <v>29.813540792570297</v>
      </c>
      <c r="AH15">
        <f t="shared" si="4"/>
        <v>39.704191925964771</v>
      </c>
      <c r="AI15" s="3">
        <f t="shared" si="5"/>
        <v>1.466778239041981</v>
      </c>
      <c r="AL15" s="11">
        <v>0</v>
      </c>
      <c r="AM15" s="11">
        <v>0</v>
      </c>
      <c r="AN15" s="12">
        <v>2</v>
      </c>
      <c r="AO15" s="11">
        <v>10000</v>
      </c>
      <c r="AP15" s="13" t="e">
        <f ca="1"/>
        <v>#NAME?</v>
      </c>
      <c r="AR15" s="11">
        <v>0</v>
      </c>
      <c r="AS15" s="11">
        <v>0</v>
      </c>
      <c r="AT15" s="12">
        <v>2</v>
      </c>
      <c r="AU15" s="11">
        <v>10000</v>
      </c>
      <c r="AV15" s="13" t="e">
        <f ca="1"/>
        <v>#NAME?</v>
      </c>
      <c r="AW15" s="13" t="e">
        <f ca="1"/>
        <v>#NAME?</v>
      </c>
      <c r="AX15" s="13" t="e">
        <f ca="1"/>
        <v>#NAME?</v>
      </c>
      <c r="AY15" s="13" t="e">
        <f ca="1"/>
        <v>#NAME?</v>
      </c>
      <c r="BA15" s="11">
        <v>0</v>
      </c>
      <c r="BB15" s="11">
        <v>0</v>
      </c>
      <c r="BC15" s="12">
        <v>2</v>
      </c>
      <c r="BD15" s="11">
        <v>10000</v>
      </c>
      <c r="BE15" s="13" t="e">
        <f ca="1"/>
        <v>#NAME?</v>
      </c>
      <c r="BF15" s="13" t="e">
        <f ca="1"/>
        <v>#NAME?</v>
      </c>
      <c r="BG15" s="13" t="e">
        <f ca="1"/>
        <v>#NAME?</v>
      </c>
      <c r="BH15" s="13" t="e">
        <f ca="1"/>
        <v>#NAME?</v>
      </c>
    </row>
    <row r="16" spans="1:60" x14ac:dyDescent="0.35">
      <c r="A16" s="2">
        <v>62</v>
      </c>
      <c r="B16" s="2">
        <v>41707</v>
      </c>
      <c r="C16" s="2" t="s">
        <v>38</v>
      </c>
      <c r="D16" s="6">
        <v>1</v>
      </c>
      <c r="E16" s="2"/>
      <c r="F16" s="2">
        <v>1</v>
      </c>
      <c r="G16" s="2">
        <v>0</v>
      </c>
      <c r="H16" s="2">
        <v>0</v>
      </c>
      <c r="I16" s="6">
        <f t="shared" si="18"/>
        <v>1</v>
      </c>
      <c r="J16" s="2">
        <f t="shared" si="6"/>
        <v>62</v>
      </c>
      <c r="K16" s="2">
        <f t="shared" si="6"/>
        <v>41707</v>
      </c>
      <c r="L16" s="2"/>
      <c r="M16" t="s">
        <v>41</v>
      </c>
      <c r="N16" s="10">
        <f>(N14-N13)/(N15-N13)</f>
        <v>0.964125171196065</v>
      </c>
      <c r="P16">
        <f t="shared" si="7"/>
        <v>1.4429850783862217E-3</v>
      </c>
      <c r="Q16">
        <f t="shared" si="8"/>
        <v>60.182578664254152</v>
      </c>
      <c r="R16">
        <f t="shared" si="9"/>
        <v>254.0377410073817</v>
      </c>
      <c r="S16">
        <f t="shared" si="10"/>
        <v>196.86618167289001</v>
      </c>
      <c r="T16">
        <f t="shared" si="11"/>
        <v>255.88233187279567</v>
      </c>
      <c r="U16">
        <f t="shared" si="12"/>
        <v>659.58230408320026</v>
      </c>
      <c r="V16">
        <v>13</v>
      </c>
      <c r="W16">
        <f t="shared" si="13"/>
        <v>1.8174213357458484</v>
      </c>
      <c r="X16">
        <f t="shared" si="14"/>
        <v>0.2342719141860525</v>
      </c>
      <c r="Y16">
        <f t="shared" si="0"/>
        <v>0.23310739871633518</v>
      </c>
      <c r="Z16" t="e">
        <f t="shared" ca="1" si="15"/>
        <v>#NAME?</v>
      </c>
      <c r="AA16" t="e">
        <f t="shared" ca="1" si="16"/>
        <v>#NAME?</v>
      </c>
      <c r="AB16" t="e">
        <f t="shared" ca="1" si="1"/>
        <v>#NAME?</v>
      </c>
      <c r="AC16">
        <v>13</v>
      </c>
      <c r="AD16" s="2">
        <f t="shared" si="17"/>
        <v>62</v>
      </c>
      <c r="AE16">
        <f t="shared" si="2"/>
        <v>60.182578664254152</v>
      </c>
      <c r="AF16">
        <f t="array" ref="AF16">Q16*SQRT(MMULT(MMULT(F16:I16,$F$23:$I$26),TRANSPOSE(F16:I16)))</f>
        <v>3.8096595518514103</v>
      </c>
      <c r="AG16">
        <f t="shared" si="3"/>
        <v>52.715783149266386</v>
      </c>
      <c r="AH16">
        <f t="shared" si="4"/>
        <v>67.649374179241917</v>
      </c>
      <c r="AI16" s="3">
        <f t="shared" si="5"/>
        <v>2.1514384025270945</v>
      </c>
      <c r="AL16" s="2">
        <v>1</v>
      </c>
      <c r="AM16" s="2">
        <v>0</v>
      </c>
      <c r="AN16" s="2">
        <v>0</v>
      </c>
      <c r="AO16" s="2">
        <v>10000</v>
      </c>
      <c r="AP16" t="e">
        <f ca="1">PoissonPredC(AL16:AN16,$Q$23:$Q$26,AO16)</f>
        <v>#NAME?</v>
      </c>
      <c r="AR16" s="2">
        <v>1</v>
      </c>
      <c r="AS16" s="2">
        <v>0</v>
      </c>
      <c r="AT16" s="2">
        <v>0</v>
      </c>
      <c r="AU16" s="2">
        <v>10000</v>
      </c>
      <c r="AV16" t="e">
        <f t="array" aca="1" ref="AV16:AY16" ca="1">PoissonPredCC(AR16:AT16,$Q$23:$Q$26,$F$23:$I$26,,AU16)</f>
        <v>#NAME?</v>
      </c>
      <c r="AW16" t="e">
        <f ca="1"/>
        <v>#NAME?</v>
      </c>
      <c r="AX16" t="e">
        <f ca="1"/>
        <v>#NAME?</v>
      </c>
      <c r="AY16" t="e">
        <f ca="1"/>
        <v>#NAME?</v>
      </c>
      <c r="BA16" s="2">
        <v>1</v>
      </c>
      <c r="BB16" s="2">
        <v>0</v>
      </c>
      <c r="BC16" s="2">
        <v>0</v>
      </c>
      <c r="BD16" s="2">
        <v>10000</v>
      </c>
      <c r="BE16" t="e">
        <f t="array" aca="1" ref="BE16:BH16" ca="1">PoissonPred(BA16:BC16,$G$4:$I$18,$J$4:$J$18,,BD16,$K$4:$K$18)</f>
        <v>#NAME?</v>
      </c>
      <c r="BF16" t="e">
        <f ca="1"/>
        <v>#NAME?</v>
      </c>
      <c r="BG16" t="e">
        <f ca="1"/>
        <v>#NAME?</v>
      </c>
      <c r="BH16" t="e">
        <f ca="1"/>
        <v>#NAME?</v>
      </c>
    </row>
    <row r="17" spans="1:60" x14ac:dyDescent="0.35">
      <c r="A17" s="2">
        <v>57</v>
      </c>
      <c r="B17" s="2">
        <v>26319</v>
      </c>
      <c r="C17" s="2" t="s">
        <v>38</v>
      </c>
      <c r="D17" s="6">
        <v>1.5</v>
      </c>
      <c r="E17" s="2"/>
      <c r="F17" s="2">
        <v>1</v>
      </c>
      <c r="G17" s="2">
        <v>0</v>
      </c>
      <c r="H17" s="2">
        <v>0</v>
      </c>
      <c r="I17" s="6">
        <f t="shared" si="18"/>
        <v>1.5</v>
      </c>
      <c r="J17" s="2">
        <f t="shared" si="6"/>
        <v>57</v>
      </c>
      <c r="K17" s="2">
        <f t="shared" si="6"/>
        <v>26319</v>
      </c>
      <c r="L17" s="2"/>
      <c r="M17" s="2"/>
      <c r="N17" s="2"/>
      <c r="P17">
        <f t="shared" si="7"/>
        <v>2.1165391122391973E-3</v>
      </c>
      <c r="Q17">
        <f t="shared" si="8"/>
        <v>55.70519289502343</v>
      </c>
      <c r="R17">
        <f t="shared" si="9"/>
        <v>229.14418222114483</v>
      </c>
      <c r="S17">
        <f t="shared" si="10"/>
        <v>176.39584840699735</v>
      </c>
      <c r="T17">
        <f t="shared" si="11"/>
        <v>230.45392226656938</v>
      </c>
      <c r="U17">
        <f t="shared" si="12"/>
        <v>580.1486442754001</v>
      </c>
      <c r="V17">
        <v>14</v>
      </c>
      <c r="W17">
        <f t="shared" si="13"/>
        <v>1.2948071049765701</v>
      </c>
      <c r="X17">
        <f t="shared" si="14"/>
        <v>0.17348312340286243</v>
      </c>
      <c r="Y17">
        <f t="shared" si="0"/>
        <v>0.17281747856035018</v>
      </c>
      <c r="Z17" t="e">
        <f t="shared" ca="1" si="15"/>
        <v>#NAME?</v>
      </c>
      <c r="AA17" t="e">
        <f t="shared" ca="1" si="16"/>
        <v>#NAME?</v>
      </c>
      <c r="AB17" t="e">
        <f t="shared" ca="1" si="1"/>
        <v>#NAME?</v>
      </c>
      <c r="AC17">
        <v>14</v>
      </c>
      <c r="AD17" s="2">
        <f t="shared" si="17"/>
        <v>57</v>
      </c>
      <c r="AE17">
        <f t="shared" si="2"/>
        <v>55.70519289502343</v>
      </c>
      <c r="AF17">
        <f t="array" ref="AF17">Q17*SQRT(MMULT(MMULT(F17:I17,$F$23:$I$26),TRANSPOSE(F17:I17)))</f>
        <v>3.6058316657791512</v>
      </c>
      <c r="AG17">
        <f t="shared" si="3"/>
        <v>48.637892695782227</v>
      </c>
      <c r="AH17">
        <f t="shared" si="4"/>
        <v>62.772493094264632</v>
      </c>
      <c r="AI17" s="3">
        <f t="shared" si="5"/>
        <v>3.1556830314659843</v>
      </c>
      <c r="AL17" s="11">
        <v>0</v>
      </c>
      <c r="AM17" s="11">
        <v>0</v>
      </c>
      <c r="AN17" s="11">
        <v>0</v>
      </c>
      <c r="AO17" s="11">
        <v>10000</v>
      </c>
      <c r="AP17" s="13" t="e">
        <f ca="1">PoissonPredC(AL17:AN17,$Q$23:$Q$26,AO17)</f>
        <v>#NAME?</v>
      </c>
      <c r="AR17" s="11">
        <v>0</v>
      </c>
      <c r="AS17" s="11">
        <v>0</v>
      </c>
      <c r="AT17" s="11">
        <v>0</v>
      </c>
      <c r="AU17" s="11">
        <v>10000</v>
      </c>
      <c r="AV17" s="13" t="e">
        <f t="array" aca="1" ref="AV17:AY17" ca="1">PoissonPredCC(AR17:AT17,$Q$23:$Q$26,$F$23:$I$26,,AU17)</f>
        <v>#NAME?</v>
      </c>
      <c r="AW17" s="13" t="e">
        <f ca="1"/>
        <v>#NAME?</v>
      </c>
      <c r="AX17" s="13" t="e">
        <f ca="1"/>
        <v>#NAME?</v>
      </c>
      <c r="AY17" s="13" t="e">
        <f ca="1"/>
        <v>#NAME?</v>
      </c>
      <c r="BA17" s="11">
        <v>0</v>
      </c>
      <c r="BB17" s="11">
        <v>0</v>
      </c>
      <c r="BC17" s="11">
        <v>0</v>
      </c>
      <c r="BD17" s="11">
        <v>10000</v>
      </c>
      <c r="BE17" s="13" t="e">
        <f t="array" aca="1" ref="BE17:BH17" ca="1">PoissonPred(BA17:BC17,$G$4:$I$18,$J$4:$J$18,,BD17,$K$4:$K$18)</f>
        <v>#NAME?</v>
      </c>
      <c r="BF17" s="13" t="e">
        <f ca="1"/>
        <v>#NAME?</v>
      </c>
      <c r="BG17" s="13" t="e">
        <f ca="1"/>
        <v>#NAME?</v>
      </c>
      <c r="BH17" s="13" t="e">
        <f ca="1"/>
        <v>#NAME?</v>
      </c>
    </row>
    <row r="18" spans="1:60" x14ac:dyDescent="0.35">
      <c r="A18" s="11">
        <v>71</v>
      </c>
      <c r="B18" s="11">
        <v>22978</v>
      </c>
      <c r="C18" s="11" t="s">
        <v>38</v>
      </c>
      <c r="D18" s="12">
        <v>2</v>
      </c>
      <c r="E18" s="2"/>
      <c r="F18" s="11">
        <v>1</v>
      </c>
      <c r="G18" s="11">
        <v>0</v>
      </c>
      <c r="H18" s="11">
        <v>0</v>
      </c>
      <c r="I18" s="12">
        <f t="shared" si="18"/>
        <v>2</v>
      </c>
      <c r="J18" s="11">
        <f t="shared" si="6"/>
        <v>71</v>
      </c>
      <c r="K18" s="11">
        <f t="shared" si="6"/>
        <v>22978</v>
      </c>
      <c r="L18" s="2"/>
      <c r="M18" s="16" t="s">
        <v>42</v>
      </c>
      <c r="N18" s="17">
        <f>1-N14/N13</f>
        <v>0.76192492163391889</v>
      </c>
      <c r="P18" s="13">
        <f t="shared" si="7"/>
        <v>3.1044935119136875E-3</v>
      </c>
      <c r="Q18" s="13">
        <f t="shared" si="8"/>
        <v>71.335051916752718</v>
      </c>
      <c r="R18" s="13">
        <f t="shared" si="9"/>
        <v>302.98453510316614</v>
      </c>
      <c r="S18" s="13">
        <f t="shared" si="10"/>
        <v>234.70172344281826</v>
      </c>
      <c r="T18" s="13">
        <f t="shared" si="11"/>
        <v>302.6502712699334</v>
      </c>
      <c r="U18" s="13">
        <f t="shared" si="12"/>
        <v>713.00276859434496</v>
      </c>
      <c r="V18">
        <v>15</v>
      </c>
      <c r="W18" s="13">
        <f t="shared" si="13"/>
        <v>-0.33505191675271817</v>
      </c>
      <c r="X18" s="13">
        <f t="shared" si="14"/>
        <v>-3.966985526408677E-2</v>
      </c>
      <c r="Y18" s="13">
        <f t="shared" si="0"/>
        <v>-3.9700970263710951E-2</v>
      </c>
      <c r="Z18" s="13" t="e">
        <f t="shared" ca="1" si="15"/>
        <v>#NAME?</v>
      </c>
      <c r="AA18" s="13" t="e">
        <f t="shared" ca="1" si="16"/>
        <v>#NAME?</v>
      </c>
      <c r="AB18" s="13" t="e">
        <f t="shared" ca="1" si="1"/>
        <v>#NAME?</v>
      </c>
      <c r="AC18">
        <v>15</v>
      </c>
      <c r="AD18" s="11">
        <f t="shared" si="17"/>
        <v>71</v>
      </c>
      <c r="AE18" s="13">
        <f t="shared" si="2"/>
        <v>71.335051916752718</v>
      </c>
      <c r="AF18" s="13">
        <f t="array" ref="AF18">Q18*SQRT(MMULT(MMULT(F18:I18,$F$23:$I$26),TRANSPOSE(F18:I18)))</f>
        <v>5.4412601171904225</v>
      </c>
      <c r="AG18" s="13">
        <f t="shared" si="3"/>
        <v>60.670378056545303</v>
      </c>
      <c r="AH18" s="13">
        <f t="shared" si="4"/>
        <v>81.999725776960133</v>
      </c>
      <c r="AI18" s="18">
        <f t="shared" si="5"/>
        <v>4.6286871998683363</v>
      </c>
    </row>
    <row r="19" spans="1:60" s="3" customFormat="1" x14ac:dyDescent="0.35">
      <c r="A19" s="19">
        <f>AVERAGE(A4:A18)</f>
        <v>55.93333333333333</v>
      </c>
      <c r="B19" s="19">
        <f>AVERAGE(B4:B18)</f>
        <v>25418.799999999999</v>
      </c>
      <c r="D19" s="19"/>
      <c r="E19" s="19"/>
      <c r="J19" s="19">
        <f>SUM(J4:J18)</f>
        <v>839</v>
      </c>
      <c r="K19" s="19">
        <f>SUM(K4:K18)</f>
        <v>381282</v>
      </c>
      <c r="L19" s="19"/>
      <c r="M19" s="2"/>
      <c r="N19" s="19"/>
      <c r="Q19" s="3">
        <f>SUM(Q4:Q18)</f>
        <v>838.99334313399356</v>
      </c>
      <c r="R19" s="3">
        <f>SUM(R4:R18)</f>
        <v>3467.0590820284774</v>
      </c>
      <c r="S19" s="3">
        <f>SUM(S4:S18)</f>
        <v>2676.8674591439085</v>
      </c>
      <c r="T19" s="3">
        <f>SUM(T4:T18)</f>
        <v>3472.8772596062918</v>
      </c>
      <c r="U19" s="3">
        <f>SUM(U4:U18)</f>
        <v>8444.7942123697048</v>
      </c>
      <c r="W19" s="3">
        <f>SUM(W4:W18)</f>
        <v>6.6568660063612839E-3</v>
      </c>
      <c r="X19" s="3">
        <f>SUMSQ(X4:X18)</f>
        <v>11.786747959848373</v>
      </c>
      <c r="Y19" s="3">
        <f>SUMSQ(Y4:Y18)</f>
        <v>11.623041423616362</v>
      </c>
      <c r="AA19" s="3">
        <f t="shared" si="16"/>
        <v>17.014390459786547</v>
      </c>
      <c r="AB19" s="3">
        <f>2*N5/N4</f>
        <v>0.53333333333333333</v>
      </c>
      <c r="AC19"/>
      <c r="BF19"/>
    </row>
    <row r="20" spans="1:60" s="3" customFormat="1" ht="15" customHeight="1" x14ac:dyDescent="0.35">
      <c r="D20" s="19"/>
      <c r="E20" s="19" t="s">
        <v>43</v>
      </c>
      <c r="F20" s="20">
        <v>-7.307177982806258</v>
      </c>
      <c r="G20" s="21">
        <v>0.76459126211662687</v>
      </c>
      <c r="H20" s="21">
        <v>0.3887485255400922</v>
      </c>
      <c r="I20" s="22">
        <v>0.76613664287370042</v>
      </c>
      <c r="M20" s="2"/>
      <c r="U20"/>
      <c r="AC20"/>
      <c r="AY20" s="23"/>
      <c r="BF20"/>
    </row>
    <row r="21" spans="1:60" s="3" customFormat="1" ht="15" customHeight="1" x14ac:dyDescent="0.35">
      <c r="A21" s="19"/>
      <c r="B21" s="19"/>
      <c r="D21" s="19"/>
      <c r="E21" s="19"/>
      <c r="M21" s="2"/>
      <c r="U21"/>
      <c r="BF21"/>
    </row>
    <row r="22" spans="1:60" s="3" customFormat="1" ht="15" customHeight="1" x14ac:dyDescent="0.35">
      <c r="A22" s="16" t="s">
        <v>44</v>
      </c>
      <c r="B22"/>
      <c r="C22"/>
      <c r="D22" s="19"/>
      <c r="E22" s="19"/>
      <c r="F22" s="3" t="s">
        <v>45</v>
      </c>
      <c r="J22" s="19" t="s">
        <v>24</v>
      </c>
      <c r="Q22" s="19" t="s">
        <v>43</v>
      </c>
      <c r="R22" s="19" t="s">
        <v>46</v>
      </c>
      <c r="S22" s="19" t="s">
        <v>47</v>
      </c>
      <c r="T22" s="19" t="s">
        <v>48</v>
      </c>
      <c r="U22" s="19" t="s">
        <v>25</v>
      </c>
      <c r="V22" s="19" t="s">
        <v>26</v>
      </c>
      <c r="X22" s="3" t="s">
        <v>49</v>
      </c>
      <c r="Y22" s="3" t="s">
        <v>50</v>
      </c>
      <c r="AD22" s="3" t="s">
        <v>51</v>
      </c>
      <c r="BF22"/>
    </row>
    <row r="23" spans="1:60" x14ac:dyDescent="0.35">
      <c r="D23" s="2"/>
      <c r="E23" s="2"/>
      <c r="F23" s="24">
        <f t="array" ref="F23:I26">MINVERSE(MMULT(TRANSPOSE(Q4:Q18*F4:I18),F4:I18))</f>
        <v>7.9769817796530151E-3</v>
      </c>
      <c r="G23" s="25">
        <v>-3.8983689895895329E-3</v>
      </c>
      <c r="H23" s="25">
        <v>-3.697719859078226E-3</v>
      </c>
      <c r="I23" s="26">
        <v>-3.4301957094937125E-3</v>
      </c>
      <c r="J23" s="3" t="e">
        <f t="array" aca="1" ref="J23:J26" ca="1">SQRT(DIAG(F23:I26))</f>
        <v>#NAME?</v>
      </c>
      <c r="P23" t="s">
        <v>28</v>
      </c>
      <c r="Q23" s="31">
        <f t="array" ref="Q23:Q26">TRANSPOSE(F20:I20)</f>
        <v>-7.307177982806258</v>
      </c>
      <c r="R23" s="32" t="e">
        <f ca="1">J23</f>
        <v>#NAME?</v>
      </c>
      <c r="S23" s="32" t="e">
        <f ca="1">Q23/R23</f>
        <v>#NAME?</v>
      </c>
      <c r="T23" s="32" t="e">
        <f ca="1">2*NORMSDIST(-ABS(S23))</f>
        <v>#NAME?</v>
      </c>
      <c r="U23" s="32" t="e">
        <f ca="1">Q23-R23*N$9</f>
        <v>#NAME?</v>
      </c>
      <c r="V23" s="33" t="e">
        <f ca="1">Q23+R23*N$9</f>
        <v>#NAME?</v>
      </c>
      <c r="AC23" s="3"/>
      <c r="AD23" s="19">
        <v>1</v>
      </c>
      <c r="AE23" s="19">
        <v>2</v>
      </c>
      <c r="AF23" s="19">
        <v>3</v>
      </c>
      <c r="AG23" s="19">
        <v>4</v>
      </c>
      <c r="AH23" s="19">
        <v>5</v>
      </c>
      <c r="AI23" s="19">
        <v>6</v>
      </c>
      <c r="AJ23" s="19">
        <v>7</v>
      </c>
      <c r="AK23" s="19">
        <v>8</v>
      </c>
      <c r="AL23" s="19">
        <v>9</v>
      </c>
      <c r="AM23" s="19">
        <v>10</v>
      </c>
      <c r="AN23" s="19">
        <v>11</v>
      </c>
      <c r="AO23" s="19">
        <v>12</v>
      </c>
      <c r="AP23" s="19">
        <v>13</v>
      </c>
      <c r="AQ23" s="19">
        <v>14</v>
      </c>
      <c r="AR23" s="19">
        <v>15</v>
      </c>
      <c r="AS23" s="19" t="s">
        <v>52</v>
      </c>
    </row>
    <row r="24" spans="1:60" x14ac:dyDescent="0.35">
      <c r="B24" s="2" t="s">
        <v>53</v>
      </c>
      <c r="C24" s="2" t="s">
        <v>48</v>
      </c>
      <c r="D24" s="2"/>
      <c r="E24" s="2"/>
      <c r="F24" s="27">
        <v>-3.8983689895895303E-3</v>
      </c>
      <c r="G24">
        <v>6.3335453903458298E-3</v>
      </c>
      <c r="H24">
        <v>3.9067514510124886E-3</v>
      </c>
      <c r="I24" s="28">
        <v>-6.7192622797358305E-6</v>
      </c>
      <c r="J24" t="e">
        <f ca="1"/>
        <v>#NAME?</v>
      </c>
      <c r="P24" s="34" t="s">
        <v>6</v>
      </c>
      <c r="Q24" s="27">
        <v>0.76459126211662687</v>
      </c>
      <c r="R24" t="e">
        <f ca="1">J24</f>
        <v>#NAME?</v>
      </c>
      <c r="S24" t="e">
        <f ca="1">Q24/R24</f>
        <v>#NAME?</v>
      </c>
      <c r="T24" t="e">
        <f t="shared" ref="T24:T26" ca="1" si="19">2*NORMSDIST(-ABS(S24))</f>
        <v>#NAME?</v>
      </c>
      <c r="U24" t="e">
        <f ca="1">Q24-R24*N$9</f>
        <v>#NAME?</v>
      </c>
      <c r="V24" s="28" t="e">
        <f ca="1">Q24+R24*N$9</f>
        <v>#NAME?</v>
      </c>
      <c r="X24" s="24">
        <f t="array" ref="X24:AA27">MINVERSE(MMULT(TRANSPOSE(F4:I18),Q4:Q18*F4:I18))</f>
        <v>7.9769817796530151E-3</v>
      </c>
      <c r="Y24" s="25">
        <v>-3.8983689895895329E-3</v>
      </c>
      <c r="Z24" s="25">
        <v>-3.697719859078226E-3</v>
      </c>
      <c r="AA24" s="26">
        <v>-3.4301957094937125E-3</v>
      </c>
      <c r="AC24" s="3">
        <v>1</v>
      </c>
      <c r="AD24" s="24">
        <f t="array" ref="AD24:AR38">MMULT(MMULT(Q4:Q18*F4:I18,X24:AA27),TRANSPOSE(F4:I18))</f>
        <v>0.23261131387011758</v>
      </c>
      <c r="AE24" s="25">
        <v>0.17124416766504638</v>
      </c>
      <c r="AF24" s="25">
        <v>0.10987702145997517</v>
      </c>
      <c r="AG24" s="25">
        <v>4.8509875254903967E-2</v>
      </c>
      <c r="AH24" s="25">
        <v>-1.2857270950167227E-2</v>
      </c>
      <c r="AI24" s="25">
        <v>0.15311434925004136</v>
      </c>
      <c r="AJ24" s="25">
        <v>9.1747203044970166E-2</v>
      </c>
      <c r="AK24" s="25">
        <v>3.0380056839898958E-2</v>
      </c>
      <c r="AL24" s="25">
        <v>-3.0987089365172249E-2</v>
      </c>
      <c r="AM24" s="25">
        <v>-9.2354235570243443E-2</v>
      </c>
      <c r="AN24" s="25">
        <v>0.14564970588873666</v>
      </c>
      <c r="AO24" s="25">
        <v>8.4282559683665464E-2</v>
      </c>
      <c r="AP24" s="25">
        <v>2.2915413478594257E-2</v>
      </c>
      <c r="AQ24" s="25">
        <v>-3.845173272647695E-2</v>
      </c>
      <c r="AR24" s="26">
        <v>-9.9818878931548144E-2</v>
      </c>
      <c r="AS24" s="3" t="e">
        <f t="array" aca="1" ref="AS24:AS38" ca="1">DIAG(AD24:AR38)</f>
        <v>#NAME?</v>
      </c>
    </row>
    <row r="25" spans="1:60" x14ac:dyDescent="0.35">
      <c r="A25" t="s">
        <v>54</v>
      </c>
      <c r="B25" s="31">
        <f>SUMSQ(X4:X18)</f>
        <v>11.786747959848373</v>
      </c>
      <c r="C25" s="33">
        <f>CHIDIST(B25,N6)</f>
        <v>0.37988437658122426</v>
      </c>
      <c r="D25" s="2"/>
      <c r="E25" s="2"/>
      <c r="F25" s="27">
        <v>-3.6977198590782238E-3</v>
      </c>
      <c r="G25">
        <v>3.9067514510124886E-3</v>
      </c>
      <c r="H25">
        <v>9.7649931597993851E-3</v>
      </c>
      <c r="I25" s="28">
        <v>-1.7579978946478836E-4</v>
      </c>
      <c r="J25" t="e">
        <f ca="1"/>
        <v>#NAME?</v>
      </c>
      <c r="P25" t="s">
        <v>7</v>
      </c>
      <c r="Q25" s="27">
        <v>0.3887485255400922</v>
      </c>
      <c r="R25" t="e">
        <f ca="1">J25</f>
        <v>#NAME?</v>
      </c>
      <c r="S25" t="e">
        <f ca="1">Q25/R25</f>
        <v>#NAME?</v>
      </c>
      <c r="T25" t="e">
        <f t="shared" ca="1" si="19"/>
        <v>#NAME?</v>
      </c>
      <c r="U25" t="e">
        <f ca="1">Q25-R25*N$9</f>
        <v>#NAME?</v>
      </c>
      <c r="V25" s="28" t="e">
        <f ca="1">Q25+R25*N$9</f>
        <v>#NAME?</v>
      </c>
      <c r="X25" s="35">
        <v>-3.8983689895895303E-3</v>
      </c>
      <c r="Y25" s="3">
        <v>6.3335453903458298E-3</v>
      </c>
      <c r="Z25" s="3">
        <v>3.9067514510124886E-3</v>
      </c>
      <c r="AA25" s="36">
        <v>-6.7192622797358305E-6</v>
      </c>
      <c r="AC25">
        <v>2</v>
      </c>
      <c r="AD25" s="27">
        <v>0.32554942913511775</v>
      </c>
      <c r="AE25">
        <v>0.25794378564940545</v>
      </c>
      <c r="AF25">
        <v>0.19033814216369316</v>
      </c>
      <c r="AG25">
        <v>0.12273249867798086</v>
      </c>
      <c r="AH25">
        <v>5.5126855192268565E-2</v>
      </c>
      <c r="AI25">
        <v>0.16867973741770195</v>
      </c>
      <c r="AJ25">
        <v>0.10107409393198966</v>
      </c>
      <c r="AK25">
        <v>3.3468450446277359E-2</v>
      </c>
      <c r="AL25">
        <v>-3.4137193039434938E-2</v>
      </c>
      <c r="AM25">
        <v>-0.10174283652514723</v>
      </c>
      <c r="AN25">
        <v>0.1604562489708716</v>
      </c>
      <c r="AO25">
        <v>9.2850605485159304E-2</v>
      </c>
      <c r="AP25">
        <v>2.5244961999447008E-2</v>
      </c>
      <c r="AQ25">
        <v>-4.2360681486265289E-2</v>
      </c>
      <c r="AR25" s="28">
        <v>-0.10996632497197759</v>
      </c>
      <c r="AS25" t="e">
        <f ca="1"/>
        <v>#NAME?</v>
      </c>
    </row>
    <row r="26" spans="1:60" x14ac:dyDescent="0.35">
      <c r="A26" t="s">
        <v>55</v>
      </c>
      <c r="B26" s="29">
        <f>Y19</f>
        <v>11.623041423616362</v>
      </c>
      <c r="C26" s="30">
        <f>CHIDIST(B26,N6)</f>
        <v>0.39263416660472927</v>
      </c>
      <c r="D26" s="2"/>
      <c r="E26" s="2"/>
      <c r="F26" s="29">
        <v>-3.4301957094937142E-3</v>
      </c>
      <c r="G26" s="13">
        <v>-6.7192622797341601E-6</v>
      </c>
      <c r="H26" s="13">
        <v>-1.75799789464787E-4</v>
      </c>
      <c r="I26" s="30">
        <v>2.8905148875111751E-3</v>
      </c>
      <c r="J26" t="e">
        <f ca="1"/>
        <v>#NAME?</v>
      </c>
      <c r="P26" t="s">
        <v>4</v>
      </c>
      <c r="Q26" s="29">
        <v>0.76613664287370042</v>
      </c>
      <c r="R26" s="13" t="e">
        <f ca="1">J26</f>
        <v>#NAME?</v>
      </c>
      <c r="S26" s="13" t="e">
        <f ca="1">Q26/R26</f>
        <v>#NAME?</v>
      </c>
      <c r="T26" s="13" t="e">
        <f t="shared" ca="1" si="19"/>
        <v>#NAME?</v>
      </c>
      <c r="U26" s="13" t="e">
        <f ca="1">Q26-R26*N$9</f>
        <v>#NAME?</v>
      </c>
      <c r="V26" s="30" t="e">
        <f ca="1">Q26+R26*N$9</f>
        <v>#NAME?</v>
      </c>
      <c r="X26" s="27">
        <v>-3.6977198590782238E-3</v>
      </c>
      <c r="Y26">
        <v>3.9067514510124886E-3</v>
      </c>
      <c r="Z26">
        <v>9.7649931597993851E-3</v>
      </c>
      <c r="AA26" s="28">
        <v>-1.7579978946478836E-4</v>
      </c>
      <c r="AC26" s="3">
        <v>3</v>
      </c>
      <c r="AD26" s="27">
        <v>0.33100451029427147</v>
      </c>
      <c r="AE26">
        <v>0.30161414860895702</v>
      </c>
      <c r="AF26">
        <v>0.27222378692364257</v>
      </c>
      <c r="AG26">
        <v>0.24283342523832813</v>
      </c>
      <c r="AH26">
        <v>0.21344306355301368</v>
      </c>
      <c r="AI26">
        <v>7.3330542186731212E-2</v>
      </c>
      <c r="AJ26">
        <v>4.3940180501416765E-2</v>
      </c>
      <c r="AK26">
        <v>1.4549818816102317E-2</v>
      </c>
      <c r="AL26">
        <v>-1.4840542869212131E-2</v>
      </c>
      <c r="AM26">
        <v>-4.4230904554526579E-2</v>
      </c>
      <c r="AN26">
        <v>6.9755525556375042E-2</v>
      </c>
      <c r="AO26">
        <v>4.0365163871060594E-2</v>
      </c>
      <c r="AP26">
        <v>1.0974802185746146E-2</v>
      </c>
      <c r="AQ26">
        <v>-1.8415559499568301E-2</v>
      </c>
      <c r="AR26" s="28">
        <v>-4.7805921184882749E-2</v>
      </c>
      <c r="AS26" t="e">
        <f ca="1"/>
        <v>#NAME?</v>
      </c>
    </row>
    <row r="27" spans="1:60" x14ac:dyDescent="0.35">
      <c r="D27" s="2"/>
      <c r="E27" s="2"/>
      <c r="X27" s="29">
        <v>-3.4301957094937142E-3</v>
      </c>
      <c r="Y27" s="13">
        <v>-6.7192622797341601E-6</v>
      </c>
      <c r="Z27" s="13">
        <v>-1.75799789464787E-4</v>
      </c>
      <c r="AA27" s="30">
        <v>2.8905148875111751E-3</v>
      </c>
      <c r="AC27">
        <v>4</v>
      </c>
      <c r="AD27" s="27">
        <v>0.1447687066205976</v>
      </c>
      <c r="AE27">
        <v>0.1926650605868746</v>
      </c>
      <c r="AF27">
        <v>0.24056141455315161</v>
      </c>
      <c r="AG27">
        <v>0.28845776851942861</v>
      </c>
      <c r="AH27">
        <v>0.33635412248570562</v>
      </c>
      <c r="AI27">
        <v>-0.11950399395287677</v>
      </c>
      <c r="AJ27">
        <v>-7.1607639986599761E-2</v>
      </c>
      <c r="AK27">
        <v>-2.3711286020322755E-2</v>
      </c>
      <c r="AL27">
        <v>2.418506794595425E-2</v>
      </c>
      <c r="AM27">
        <v>7.2081421912231255E-2</v>
      </c>
      <c r="AN27">
        <v>-0.11367792540032734</v>
      </c>
      <c r="AO27">
        <v>-6.5781571434050334E-2</v>
      </c>
      <c r="AP27">
        <v>-1.7885217467773329E-2</v>
      </c>
      <c r="AQ27">
        <v>3.0011136498503677E-2</v>
      </c>
      <c r="AR27" s="28">
        <v>7.7907490464780682E-2</v>
      </c>
      <c r="AS27" t="e">
        <f ca="1"/>
        <v>#NAME?</v>
      </c>
    </row>
    <row r="28" spans="1:60" x14ac:dyDescent="0.35">
      <c r="A28" t="s">
        <v>57</v>
      </c>
      <c r="B28" s="57">
        <f>B25/N6</f>
        <v>1.0715225418043977</v>
      </c>
      <c r="D28" s="2"/>
      <c r="E28" s="2"/>
      <c r="Q28" s="2" t="s">
        <v>43</v>
      </c>
      <c r="R28" s="2" t="s">
        <v>46</v>
      </c>
      <c r="S28" s="2" t="s">
        <v>47</v>
      </c>
      <c r="T28" s="2" t="s">
        <v>48</v>
      </c>
      <c r="U28" s="2" t="s">
        <v>25</v>
      </c>
      <c r="V28" s="2" t="s">
        <v>26</v>
      </c>
      <c r="AC28" s="3">
        <v>5</v>
      </c>
      <c r="AD28" s="27">
        <v>-3.3933959920104201E-2</v>
      </c>
      <c r="AE28">
        <v>7.6532837489716815E-2</v>
      </c>
      <c r="AF28">
        <v>0.18699963489953783</v>
      </c>
      <c r="AG28">
        <v>0.29746643230935887</v>
      </c>
      <c r="AH28">
        <v>0.40793322971917989</v>
      </c>
      <c r="AI28">
        <v>-0.27562063490159766</v>
      </c>
      <c r="AJ28">
        <v>-0.16515383749177664</v>
      </c>
      <c r="AK28">
        <v>-5.4687040081955629E-2</v>
      </c>
      <c r="AL28">
        <v>5.5779757327865387E-2</v>
      </c>
      <c r="AM28">
        <v>0.1662465547376864</v>
      </c>
      <c r="AN28">
        <v>-0.26218355501565588</v>
      </c>
      <c r="AO28">
        <v>-0.15171675760583486</v>
      </c>
      <c r="AP28">
        <v>-4.1249960196013846E-2</v>
      </c>
      <c r="AQ28">
        <v>6.921683721380717E-2</v>
      </c>
      <c r="AR28" s="28">
        <v>0.17968363462362819</v>
      </c>
      <c r="AS28" t="e">
        <f ca="1"/>
        <v>#NAME?</v>
      </c>
    </row>
    <row r="29" spans="1:60" x14ac:dyDescent="0.35">
      <c r="A29" s="15" t="s">
        <v>58</v>
      </c>
      <c r="B29" s="10">
        <f>SQRT(B28)</f>
        <v>1.0351437300222601</v>
      </c>
      <c r="D29" s="2"/>
      <c r="E29" s="2"/>
      <c r="P29" t="s">
        <v>28</v>
      </c>
      <c r="Q29" s="31">
        <f>Q23</f>
        <v>-7.307177982806258</v>
      </c>
      <c r="R29" s="32" t="e">
        <f ca="1">R23*B$29</f>
        <v>#NAME?</v>
      </c>
      <c r="S29" s="32" t="e">
        <f ca="1">Q29/R29</f>
        <v>#NAME?</v>
      </c>
      <c r="T29" s="32" t="e">
        <f ca="1">2*NORMSDIST(-ABS(S29))</f>
        <v>#NAME?</v>
      </c>
      <c r="U29" s="32" t="e">
        <f ca="1">Q29-R29*N$9</f>
        <v>#NAME?</v>
      </c>
      <c r="V29" s="33" t="e">
        <f ca="1">Q29+R29*N$9</f>
        <v>#NAME?</v>
      </c>
      <c r="AC29">
        <v>6</v>
      </c>
      <c r="AD29" s="27">
        <v>5.0676373854085445E-2</v>
      </c>
      <c r="AE29">
        <v>2.9366447034055342E-2</v>
      </c>
      <c r="AF29">
        <v>8.0565202140252395E-3</v>
      </c>
      <c r="AG29">
        <v>-1.325340660600486E-2</v>
      </c>
      <c r="AH29">
        <v>-3.4563333426034966E-2</v>
      </c>
      <c r="AI29">
        <v>0.12228740078591989</v>
      </c>
      <c r="AJ29">
        <v>0.10097747396588978</v>
      </c>
      <c r="AK29">
        <v>7.9667547145859691E-2</v>
      </c>
      <c r="AL29">
        <v>5.8357620325829584E-2</v>
      </c>
      <c r="AM29">
        <v>3.7047693505799478E-2</v>
      </c>
      <c r="AN29">
        <v>5.0577300164422495E-2</v>
      </c>
      <c r="AO29">
        <v>2.9267373344392392E-2</v>
      </c>
      <c r="AP29">
        <v>7.9574465243622897E-3</v>
      </c>
      <c r="AQ29">
        <v>-1.335248029566781E-2</v>
      </c>
      <c r="AR29" s="28">
        <v>-3.4662407115697916E-2</v>
      </c>
      <c r="AS29" t="e">
        <f ca="1"/>
        <v>#NAME?</v>
      </c>
    </row>
    <row r="30" spans="1:60" x14ac:dyDescent="0.35">
      <c r="D30" s="2"/>
      <c r="E30" s="2"/>
      <c r="P30" s="34" t="s">
        <v>6</v>
      </c>
      <c r="Q30" s="27">
        <f>Q24</f>
        <v>0.76459126211662687</v>
      </c>
      <c r="R30" t="e">
        <f ca="1">R24*B$29</f>
        <v>#NAME?</v>
      </c>
      <c r="S30" t="e">
        <f t="shared" ref="S30:S32" ca="1" si="20">Q30/R30</f>
        <v>#NAME?</v>
      </c>
      <c r="T30" t="e">
        <f t="shared" ref="T30:T32" ca="1" si="21">2*NORMSDIST(-ABS(S30))</f>
        <v>#NAME?</v>
      </c>
      <c r="U30" t="e">
        <f ca="1">Q30-R30*N$9</f>
        <v>#NAME?</v>
      </c>
      <c r="V30" s="28" t="e">
        <f ca="1">Q30+R30*N$9</f>
        <v>#NAME?</v>
      </c>
      <c r="AC30" s="3">
        <v>7</v>
      </c>
      <c r="AD30" s="27">
        <v>8.4940784403860964E-2</v>
      </c>
      <c r="AE30">
        <v>4.922232702381886E-2</v>
      </c>
      <c r="AF30">
        <v>1.3503869643776756E-2</v>
      </c>
      <c r="AG30">
        <v>-2.2214587736265348E-2</v>
      </c>
      <c r="AH30">
        <v>-5.7933045116307452E-2</v>
      </c>
      <c r="AI30">
        <v>0.28246087333637482</v>
      </c>
      <c r="AJ30">
        <v>0.24674241595633273</v>
      </c>
      <c r="AK30">
        <v>0.21102395857629061</v>
      </c>
      <c r="AL30">
        <v>0.17530550119624849</v>
      </c>
      <c r="AM30">
        <v>0.1395870438162064</v>
      </c>
      <c r="AN30">
        <v>8.477472285932372E-2</v>
      </c>
      <c r="AO30">
        <v>4.9056265479281616E-2</v>
      </c>
      <c r="AP30">
        <v>1.3337808099239512E-2</v>
      </c>
      <c r="AQ30">
        <v>-2.2380649280802592E-2</v>
      </c>
      <c r="AR30" s="28">
        <v>-5.8099106660844696E-2</v>
      </c>
      <c r="AS30" t="e">
        <f ca="1"/>
        <v>#NAME?</v>
      </c>
    </row>
    <row r="31" spans="1:60" x14ac:dyDescent="0.35">
      <c r="A31" t="s">
        <v>30</v>
      </c>
      <c r="B31" s="57">
        <f>N4</f>
        <v>15</v>
      </c>
      <c r="D31" s="2"/>
      <c r="E31" s="2"/>
      <c r="P31" t="s">
        <v>7</v>
      </c>
      <c r="Q31" s="27">
        <f>Q25</f>
        <v>0.3887485255400922</v>
      </c>
      <c r="R31" t="e">
        <f ca="1">R25*B$29</f>
        <v>#NAME?</v>
      </c>
      <c r="S31" t="e">
        <f t="shared" ca="1" si="20"/>
        <v>#NAME?</v>
      </c>
      <c r="T31" t="e">
        <f t="shared" ca="1" si="21"/>
        <v>#NAME?</v>
      </c>
      <c r="U31" t="e">
        <f ca="1">Q31-R31*N$9</f>
        <v>#NAME?</v>
      </c>
      <c r="V31" s="28" t="e">
        <f ca="1">Q31+R31*N$9</f>
        <v>#NAME?</v>
      </c>
      <c r="AC31">
        <v>8</v>
      </c>
      <c r="AD31" s="27">
        <v>2.6376971625624451E-2</v>
      </c>
      <c r="AE31">
        <v>1.5285188762578266E-2</v>
      </c>
      <c r="AF31">
        <v>4.1934058995320815E-3</v>
      </c>
      <c r="AG31">
        <v>-6.898376963514103E-3</v>
      </c>
      <c r="AH31">
        <v>-1.7990159826560288E-2</v>
      </c>
      <c r="AI31">
        <v>0.20899127602819423</v>
      </c>
      <c r="AJ31">
        <v>0.19789949316514804</v>
      </c>
      <c r="AK31">
        <v>0.18680771030210186</v>
      </c>
      <c r="AL31">
        <v>0.17571592743905567</v>
      </c>
      <c r="AM31">
        <v>0.16462414457600949</v>
      </c>
      <c r="AN31">
        <v>2.6325403928444499E-2</v>
      </c>
      <c r="AO31">
        <v>1.5233621065398315E-2</v>
      </c>
      <c r="AP31">
        <v>4.14183820235213E-3</v>
      </c>
      <c r="AQ31">
        <v>-6.9499446606940546E-3</v>
      </c>
      <c r="AR31" s="28">
        <v>-1.8041727523740239E-2</v>
      </c>
      <c r="AS31" t="e">
        <f ca="1"/>
        <v>#NAME?</v>
      </c>
    </row>
    <row r="32" spans="1:60" x14ac:dyDescent="0.35">
      <c r="A32" t="s">
        <v>31</v>
      </c>
      <c r="B32" s="58">
        <f>N5</f>
        <v>4</v>
      </c>
      <c r="D32" s="2"/>
      <c r="E32" s="2"/>
      <c r="P32" t="s">
        <v>4</v>
      </c>
      <c r="Q32" s="29">
        <f>Q26</f>
        <v>0.76613664287370042</v>
      </c>
      <c r="R32" s="13" t="e">
        <f ca="1">R26*B$29</f>
        <v>#NAME?</v>
      </c>
      <c r="S32" s="13" t="e">
        <f t="shared" ca="1" si="20"/>
        <v>#NAME?</v>
      </c>
      <c r="T32" s="13" t="e">
        <f t="shared" ca="1" si="21"/>
        <v>#NAME?</v>
      </c>
      <c r="U32" s="13" t="e">
        <f ca="1">Q32-R32*N$9</f>
        <v>#NAME?</v>
      </c>
      <c r="V32" s="30" t="e">
        <f ca="1">Q32+R32*N$9</f>
        <v>#NAME?</v>
      </c>
      <c r="AC32" s="3">
        <v>9</v>
      </c>
      <c r="AD32" s="27">
        <v>-4.2409838317816147E-2</v>
      </c>
      <c r="AE32">
        <v>-2.4576073147400117E-2</v>
      </c>
      <c r="AF32">
        <v>-6.7423079769840868E-3</v>
      </c>
      <c r="AG32">
        <v>1.1091457193431943E-2</v>
      </c>
      <c r="AH32">
        <v>2.8925222363847973E-2</v>
      </c>
      <c r="AI32">
        <v>0.24132025069776647</v>
      </c>
      <c r="AJ32">
        <v>0.25915401586818249</v>
      </c>
      <c r="AK32">
        <v>0.27698778103859856</v>
      </c>
      <c r="AL32">
        <v>0.29482154620901457</v>
      </c>
      <c r="AM32">
        <v>0.31265531137943059</v>
      </c>
      <c r="AN32">
        <v>-4.232692593003845E-2</v>
      </c>
      <c r="AO32">
        <v>-2.449316075962242E-2</v>
      </c>
      <c r="AP32">
        <v>-6.6593955892063905E-3</v>
      </c>
      <c r="AQ32">
        <v>1.1174369581209639E-2</v>
      </c>
      <c r="AR32" s="28">
        <v>2.9008134751625669E-2</v>
      </c>
      <c r="AS32" t="e">
        <f ca="1"/>
        <v>#NAME?</v>
      </c>
    </row>
    <row r="33" spans="1:45" x14ac:dyDescent="0.35">
      <c r="A33" s="16" t="s">
        <v>70</v>
      </c>
      <c r="B33" s="58">
        <f>N14</f>
        <v>-48.801720249424761</v>
      </c>
      <c r="D33" s="2"/>
      <c r="E33" s="2"/>
      <c r="AC33">
        <v>10</v>
      </c>
      <c r="AD33" s="27">
        <v>-0.11958429156575474</v>
      </c>
      <c r="AE33">
        <v>-6.9297889673052337E-2</v>
      </c>
      <c r="AF33">
        <v>-1.9011487780349931E-2</v>
      </c>
      <c r="AG33">
        <v>3.1274914112352489E-2</v>
      </c>
      <c r="AH33">
        <v>8.1561316005054882E-2</v>
      </c>
      <c r="AI33">
        <v>0.14494019915174461</v>
      </c>
      <c r="AJ33">
        <v>0.195226601044447</v>
      </c>
      <c r="AK33">
        <v>0.24551300293714942</v>
      </c>
      <c r="AL33">
        <v>0.29579940482985184</v>
      </c>
      <c r="AM33">
        <v>0.34608580672255423</v>
      </c>
      <c r="AN33">
        <v>-0.11935050102215222</v>
      </c>
      <c r="AO33">
        <v>-6.9064099129449816E-2</v>
      </c>
      <c r="AP33">
        <v>-1.8777697236747409E-2</v>
      </c>
      <c r="AQ33">
        <v>3.1508704655955011E-2</v>
      </c>
      <c r="AR33" s="28">
        <v>8.1795106548657404E-2</v>
      </c>
      <c r="AS33" t="e">
        <f ca="1"/>
        <v>#NAME?</v>
      </c>
    </row>
    <row r="34" spans="1:45" x14ac:dyDescent="0.35">
      <c r="A34" s="16" t="s">
        <v>56</v>
      </c>
      <c r="B34" s="58">
        <f>2*(B32-B33)</f>
        <v>105.60344049884952</v>
      </c>
      <c r="D34" s="2"/>
      <c r="E34" s="2"/>
      <c r="AC34" s="3">
        <v>11</v>
      </c>
      <c r="AD34" s="27">
        <v>0.1387227135144751</v>
      </c>
      <c r="AE34">
        <v>8.0388411976221985E-2</v>
      </c>
      <c r="AF34">
        <v>2.2054110437968885E-2</v>
      </c>
      <c r="AG34">
        <v>-3.6280191100284215E-2</v>
      </c>
      <c r="AH34">
        <v>-9.4614492638537329E-2</v>
      </c>
      <c r="AI34">
        <v>0.14554723775385878</v>
      </c>
      <c r="AJ34">
        <v>8.7212936215605663E-2</v>
      </c>
      <c r="AK34">
        <v>2.8878634677352563E-2</v>
      </c>
      <c r="AL34">
        <v>-2.9455666860900537E-2</v>
      </c>
      <c r="AM34">
        <v>-8.7789968399153651E-2</v>
      </c>
      <c r="AN34">
        <v>0.27131493355410413</v>
      </c>
      <c r="AO34">
        <v>0.21298063201585102</v>
      </c>
      <c r="AP34">
        <v>0.1546463304775979</v>
      </c>
      <c r="AQ34">
        <v>9.6312028939344818E-2</v>
      </c>
      <c r="AR34" s="28">
        <v>3.7977727401091704E-2</v>
      </c>
      <c r="AS34" t="e">
        <f ca="1"/>
        <v>#NAME?</v>
      </c>
    </row>
    <row r="35" spans="1:45" x14ac:dyDescent="0.35">
      <c r="A35" s="16" t="s">
        <v>74</v>
      </c>
      <c r="B35" s="59">
        <f>B32*LN(B31)-2*B33</f>
        <v>108.43564130325836</v>
      </c>
      <c r="D35" s="2"/>
      <c r="E35" s="2"/>
      <c r="AC35">
        <v>12</v>
      </c>
      <c r="AD35" s="27">
        <v>8.203632280499637E-2</v>
      </c>
      <c r="AE35">
        <v>4.7539220849902489E-2</v>
      </c>
      <c r="AF35">
        <v>1.3042118894808608E-2</v>
      </c>
      <c r="AG35">
        <v>-2.1454983060285274E-2</v>
      </c>
      <c r="AH35">
        <v>-5.5952085015379155E-2</v>
      </c>
      <c r="AI35">
        <v>8.6072135393352234E-2</v>
      </c>
      <c r="AJ35">
        <v>5.1575033438258353E-2</v>
      </c>
      <c r="AK35">
        <v>1.7077931483164471E-2</v>
      </c>
      <c r="AL35">
        <v>-1.741917047192941E-2</v>
      </c>
      <c r="AM35">
        <v>-5.1916272427023291E-2</v>
      </c>
      <c r="AN35">
        <v>0.21765598650305884</v>
      </c>
      <c r="AO35">
        <v>0.18315888454796497</v>
      </c>
      <c r="AP35">
        <v>0.14866178259287108</v>
      </c>
      <c r="AQ35">
        <v>0.1141646806377772</v>
      </c>
      <c r="AR35" s="28">
        <v>7.9667578682683315E-2</v>
      </c>
      <c r="AS35" t="e">
        <f ca="1"/>
        <v>#NAME?</v>
      </c>
    </row>
    <row r="36" spans="1:45" x14ac:dyDescent="0.35">
      <c r="A36" s="2"/>
      <c r="B36" s="2"/>
      <c r="D36" s="2"/>
      <c r="E36" s="2"/>
      <c r="AC36" s="3">
        <v>13</v>
      </c>
      <c r="AD36" s="27">
        <v>3.8619029427920171E-2</v>
      </c>
      <c r="AE36">
        <v>2.2379337666643462E-2</v>
      </c>
      <c r="AF36">
        <v>6.1396459053667529E-3</v>
      </c>
      <c r="AG36">
        <v>-1.0100045855909956E-2</v>
      </c>
      <c r="AH36">
        <v>-2.6339737617186665E-2</v>
      </c>
      <c r="AI36">
        <v>4.0518909380923118E-2</v>
      </c>
      <c r="AJ36">
        <v>2.4279217619646409E-2</v>
      </c>
      <c r="AK36">
        <v>8.0395258583697005E-3</v>
      </c>
      <c r="AL36">
        <v>-8.2001659029070084E-3</v>
      </c>
      <c r="AM36">
        <v>-2.4439857664183717E-2</v>
      </c>
      <c r="AN36">
        <v>0.27363731033689709</v>
      </c>
      <c r="AO36">
        <v>0.25739761857562038</v>
      </c>
      <c r="AP36">
        <v>0.24115792681434367</v>
      </c>
      <c r="AQ36">
        <v>0.22491823505306696</v>
      </c>
      <c r="AR36" s="28">
        <v>0.20867854329179025</v>
      </c>
      <c r="AS36" t="e">
        <f ca="1"/>
        <v>#NAME?</v>
      </c>
    </row>
    <row r="37" spans="1:45" x14ac:dyDescent="0.35">
      <c r="A37" s="2"/>
      <c r="B37" s="2"/>
      <c r="D37" s="2"/>
      <c r="E37" s="2"/>
      <c r="AC37">
        <v>14</v>
      </c>
      <c r="AD37" s="27">
        <v>-5.9981104985054962E-2</v>
      </c>
      <c r="AE37">
        <v>-3.4758444786509246E-2</v>
      </c>
      <c r="AF37">
        <v>-9.5357845879635306E-3</v>
      </c>
      <c r="AG37">
        <v>1.5686875610582185E-2</v>
      </c>
      <c r="AH37">
        <v>4.09095358091279E-2</v>
      </c>
      <c r="AI37">
        <v>-6.2931901538157309E-2</v>
      </c>
      <c r="AJ37">
        <v>-3.7709241339611593E-2</v>
      </c>
      <c r="AK37">
        <v>-1.2486581141065878E-2</v>
      </c>
      <c r="AL37">
        <v>1.2736079057479838E-2</v>
      </c>
      <c r="AM37">
        <v>3.7958739256025553E-2</v>
      </c>
      <c r="AN37">
        <v>0.15773973825811483</v>
      </c>
      <c r="AO37">
        <v>0.18296239845666054</v>
      </c>
      <c r="AP37">
        <v>0.20818505865520626</v>
      </c>
      <c r="AQ37">
        <v>0.23340771885375197</v>
      </c>
      <c r="AR37" s="28">
        <v>0.25863037905229769</v>
      </c>
      <c r="AS37" t="e">
        <f ca="1"/>
        <v>#NAME?</v>
      </c>
    </row>
    <row r="38" spans="1:45" x14ac:dyDescent="0.35">
      <c r="A38" s="2"/>
      <c r="B38" s="2"/>
      <c r="D38" s="2"/>
      <c r="E38" s="2"/>
      <c r="AC38" s="3">
        <v>15</v>
      </c>
      <c r="AD38" s="29">
        <v>-0.19939696076233715</v>
      </c>
      <c r="AE38" s="13">
        <v>-0.11554852570625904</v>
      </c>
      <c r="AF38" s="13">
        <v>-3.1700090650180923E-2</v>
      </c>
      <c r="AG38" s="13">
        <v>5.2148344405897218E-2</v>
      </c>
      <c r="AH38" s="13">
        <v>0.1359967794619753</v>
      </c>
      <c r="AI38" s="13">
        <v>-0.20920638098997718</v>
      </c>
      <c r="AJ38" s="13">
        <v>-0.12535794593389907</v>
      </c>
      <c r="AK38" s="13">
        <v>-4.1509510877820954E-2</v>
      </c>
      <c r="AL38" s="13">
        <v>4.2338924178257187E-2</v>
      </c>
      <c r="AM38" s="13">
        <v>0.12618735923433527</v>
      </c>
      <c r="AN38" s="13">
        <v>7.9652031347825225E-2</v>
      </c>
      <c r="AO38" s="13">
        <v>0.16350046640390334</v>
      </c>
      <c r="AP38" s="13">
        <v>0.24734890145998145</v>
      </c>
      <c r="AQ38" s="13">
        <v>0.33119733651605959</v>
      </c>
      <c r="AR38" s="30">
        <v>0.41504577157213768</v>
      </c>
      <c r="AS38" t="e">
        <f ca="1"/>
        <v>#NAME?</v>
      </c>
    </row>
    <row r="39" spans="1:45" x14ac:dyDescent="0.35">
      <c r="A39" s="2"/>
      <c r="B39" s="2"/>
      <c r="D39" s="2"/>
      <c r="E39" s="2"/>
      <c r="AH39" s="3"/>
    </row>
    <row r="40" spans="1:45" x14ac:dyDescent="0.35">
      <c r="A40" s="2"/>
      <c r="B40" s="2"/>
      <c r="D40" s="2"/>
      <c r="E40" s="2"/>
      <c r="AH40" s="3"/>
    </row>
    <row r="41" spans="1:45" x14ac:dyDescent="0.35">
      <c r="A41" s="2"/>
      <c r="B41" s="2"/>
      <c r="D41" s="2"/>
      <c r="E41" s="2"/>
      <c r="AH41" s="3"/>
    </row>
    <row r="42" spans="1:45" x14ac:dyDescent="0.35">
      <c r="A42" s="2"/>
      <c r="B42" s="2"/>
      <c r="D42" s="2"/>
      <c r="E42" s="2"/>
      <c r="AH42" s="3"/>
    </row>
    <row r="43" spans="1:45" x14ac:dyDescent="0.35">
      <c r="A43" s="2"/>
      <c r="B43" s="2"/>
      <c r="D43" s="2"/>
      <c r="E43" s="2"/>
      <c r="AH43" s="3"/>
    </row>
    <row r="44" spans="1:45" x14ac:dyDescent="0.35">
      <c r="A44" s="2"/>
      <c r="B44" s="2"/>
      <c r="D44" s="2"/>
      <c r="E44" s="2"/>
      <c r="AH44" s="3"/>
    </row>
    <row r="45" spans="1:45" x14ac:dyDescent="0.35">
      <c r="A45" s="2"/>
      <c r="B45" s="2"/>
      <c r="D45" s="2"/>
      <c r="E45" s="2"/>
      <c r="AH45" s="3"/>
    </row>
    <row r="46" spans="1:45" x14ac:dyDescent="0.35">
      <c r="A46" s="2"/>
      <c r="B46" s="2"/>
      <c r="D46" s="2"/>
      <c r="E46" s="2"/>
      <c r="AH46" s="3"/>
    </row>
    <row r="47" spans="1:45" x14ac:dyDescent="0.35">
      <c r="A47" s="2"/>
      <c r="B47" s="2"/>
      <c r="D47" s="2"/>
      <c r="E47" s="2"/>
      <c r="AH47" s="3"/>
    </row>
    <row r="48" spans="1:45" x14ac:dyDescent="0.35">
      <c r="A48" s="2"/>
      <c r="B48" s="2"/>
      <c r="D48" s="2"/>
      <c r="E48" s="2"/>
      <c r="AH48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A6F8-3768-41EE-B167-61B79208CEAF}">
  <sheetPr codeName="Sheet5"/>
  <dimension ref="A1:AQ21"/>
  <sheetViews>
    <sheetView workbookViewId="0"/>
  </sheetViews>
  <sheetFormatPr defaultRowHeight="14.5" x14ac:dyDescent="0.35"/>
  <cols>
    <col min="1" max="1" width="7" style="2" customWidth="1"/>
    <col min="2" max="2" width="8.7265625" style="2"/>
    <col min="4" max="5" width="8.7265625" style="2"/>
    <col min="6" max="6" width="9.26953125" bestFit="1" customWidth="1"/>
    <col min="7" max="9" width="9.1796875" customWidth="1"/>
    <col min="14" max="16" width="8.81640625" bestFit="1" customWidth="1"/>
    <col min="17" max="17" width="11.81640625" bestFit="1" customWidth="1"/>
    <col min="18" max="19" width="8.81640625" bestFit="1" customWidth="1"/>
    <col min="20" max="20" width="2.6328125" customWidth="1"/>
    <col min="24" max="24" width="2.6328125" customWidth="1"/>
    <col min="29" max="29" width="8.7265625" customWidth="1"/>
  </cols>
  <sheetData>
    <row r="1" spans="1:43" x14ac:dyDescent="0.35">
      <c r="A1" s="1" t="s">
        <v>0</v>
      </c>
      <c r="M1" t="s">
        <v>0</v>
      </c>
      <c r="U1" t="s">
        <v>44</v>
      </c>
      <c r="AE1" t="s">
        <v>59</v>
      </c>
      <c r="AN1" t="s">
        <v>60</v>
      </c>
    </row>
    <row r="3" spans="1:43" x14ac:dyDescent="0.35">
      <c r="A3" s="4" t="s">
        <v>1</v>
      </c>
      <c r="B3" s="4" t="s">
        <v>2</v>
      </c>
      <c r="C3" s="4" t="s">
        <v>3</v>
      </c>
      <c r="D3" s="4" t="s">
        <v>4</v>
      </c>
      <c r="F3" s="4" t="s">
        <v>5</v>
      </c>
      <c r="G3" s="4" t="s">
        <v>6</v>
      </c>
      <c r="H3" s="4" t="s">
        <v>7</v>
      </c>
      <c r="I3" s="4" t="s">
        <v>4</v>
      </c>
      <c r="J3" s="4" t="s">
        <v>1</v>
      </c>
      <c r="K3" s="4" t="s">
        <v>2</v>
      </c>
      <c r="M3" s="2" t="e">
        <f t="array" aca="1" ref="M3:S7" ca="1">PoissonCoeff(G3:I18,J3:J18,TRUE,,K3:K18,TRUE,V20,Z9)</f>
        <v>#NAME?</v>
      </c>
      <c r="N3" s="2" t="e">
        <f ca="1"/>
        <v>#NAME?</v>
      </c>
      <c r="O3" s="2" t="e">
        <f ca="1"/>
        <v>#NAME?</v>
      </c>
      <c r="P3" s="2" t="e">
        <f ca="1"/>
        <v>#NAME?</v>
      </c>
      <c r="Q3" s="2" t="e">
        <f ca="1"/>
        <v>#NAME?</v>
      </c>
      <c r="R3" s="2" t="e">
        <f ca="1"/>
        <v>#NAME?</v>
      </c>
      <c r="S3" s="2" t="e">
        <f ca="1"/>
        <v>#NAME?</v>
      </c>
      <c r="V3" s="2" t="s">
        <v>53</v>
      </c>
      <c r="W3" s="2" t="s">
        <v>48</v>
      </c>
      <c r="Y3" t="s">
        <v>45</v>
      </c>
      <c r="AC3" t="s">
        <v>61</v>
      </c>
      <c r="AE3" s="2" t="s">
        <v>8</v>
      </c>
      <c r="AF3" s="2" t="s">
        <v>62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20</v>
      </c>
      <c r="AL3" s="2" t="s">
        <v>21</v>
      </c>
      <c r="AN3" s="2" t="s">
        <v>23</v>
      </c>
      <c r="AO3" s="2" t="s">
        <v>24</v>
      </c>
      <c r="AP3" s="2" t="s">
        <v>25</v>
      </c>
      <c r="AQ3" s="2" t="s">
        <v>26</v>
      </c>
    </row>
    <row r="4" spans="1:43" x14ac:dyDescent="0.35">
      <c r="A4" s="2">
        <v>45</v>
      </c>
      <c r="B4" s="2">
        <v>24786</v>
      </c>
      <c r="C4" s="2" t="s">
        <v>29</v>
      </c>
      <c r="D4" s="6">
        <v>0</v>
      </c>
      <c r="F4" s="2">
        <v>1</v>
      </c>
      <c r="G4" s="2">
        <v>1</v>
      </c>
      <c r="H4" s="2">
        <v>0</v>
      </c>
      <c r="I4" s="6">
        <f>D4</f>
        <v>0</v>
      </c>
      <c r="J4" s="2">
        <f>A4</f>
        <v>45</v>
      </c>
      <c r="K4" s="2">
        <f>B4</f>
        <v>24786</v>
      </c>
      <c r="M4" t="e">
        <f ca="1"/>
        <v>#NAME?</v>
      </c>
      <c r="N4" s="37" t="e">
        <f ca="1"/>
        <v>#NAME?</v>
      </c>
      <c r="O4" s="38" t="e">
        <f ca="1"/>
        <v>#NAME?</v>
      </c>
      <c r="P4" s="38" t="e">
        <f ca="1"/>
        <v>#NAME?</v>
      </c>
      <c r="Q4" s="38" t="e">
        <f ca="1"/>
        <v>#NAME?</v>
      </c>
      <c r="R4" s="38" t="e">
        <f ca="1"/>
        <v>#NAME?</v>
      </c>
      <c r="S4" s="39" t="e">
        <f ca="1"/>
        <v>#NAME?</v>
      </c>
      <c r="U4" t="s">
        <v>54</v>
      </c>
      <c r="V4" s="37" t="e">
        <f ca="1">SUMSQ(AH4:AH18)</f>
        <v>#NAME?</v>
      </c>
      <c r="W4" s="39" t="e">
        <f ca="1">_xlfn.CHISQ.DIST.RT(V4,V9)</f>
        <v>#NAME?</v>
      </c>
      <c r="Y4" s="37" t="e">
        <f t="array" aca="1" ref="Y4:AB7" ca="1">MINVERSE(MMULT(TRANSPOSE(DEsign(G4:I18)),AF4:AF18*DEsign(G4:I18)))</f>
        <v>#NAME?</v>
      </c>
      <c r="Z4" s="38" t="e">
        <f ca="1"/>
        <v>#NAME?</v>
      </c>
      <c r="AA4" s="38" t="e">
        <f ca="1"/>
        <v>#NAME?</v>
      </c>
      <c r="AB4" s="39" t="e">
        <f ca="1"/>
        <v>#NAME?</v>
      </c>
      <c r="AC4" s="45" t="e">
        <f t="array" aca="1" ref="AC4:AC7" ca="1">MMULT(Y4:AB7,MMULT(TRANSPOSE(DEsign(G4:I18)),AG4:AG18))</f>
        <v>#NAME?</v>
      </c>
      <c r="AE4" s="37">
        <f>J4</f>
        <v>45</v>
      </c>
      <c r="AF4" s="38" t="e">
        <f ca="1">K4*EXP(N$4+MMULT(G4:I4,N$5:N$7))</f>
        <v>#NAME?</v>
      </c>
      <c r="AG4" s="38" t="e">
        <f ca="1">AE4-AF4</f>
        <v>#NAME?</v>
      </c>
      <c r="AH4" s="38" t="e">
        <f ca="1">AG4/SQRT(AF4)</f>
        <v>#NAME?</v>
      </c>
      <c r="AI4" s="38" t="e">
        <f ca="1">SIGN(AG4)*SQRT(2*(IF(AE4=0,0,AE4*LN(AE4/AF4))-AG4))</f>
        <v>#NAME?</v>
      </c>
      <c r="AJ4" s="38" t="e">
        <f ca="1">AH4/SQRT(1-AL4)</f>
        <v>#NAME?</v>
      </c>
      <c r="AK4" s="38" t="e">
        <f ca="1">AI4/SQRT(1-AL4)</f>
        <v>#NAME?</v>
      </c>
      <c r="AL4" s="39" t="e">
        <f t="array" aca="1" ref="AL4:AL18" ca="1">DIAG(MMULT(MMULT(AF4:AF18*DEsign(G4:I18),MINVERSE(MMULT(TRANSPOSE(DEsign(G4:I18)),AF4:AF18*DEsign(G4:I18)))),TRANSPOSE(DEsign(G4:I18))))</f>
        <v>#NAME?</v>
      </c>
      <c r="AM4" t="e">
        <f ca="1">IF(AL4&lt;=$AL$19,"","*")</f>
        <v>#NAME?</v>
      </c>
      <c r="AN4" s="37" t="e">
        <f ca="1">AF4</f>
        <v>#NAME?</v>
      </c>
      <c r="AO4" s="38" t="e">
        <f t="array" aca="1" ref="AO4" ca="1">AN4*SQRT(MMULT(MMULT(DEsign(G4:I4),$Y$4:$AB$7),TRANSPOSE(DEsign(G4:I4))))</f>
        <v>#NAME?</v>
      </c>
      <c r="AP4" s="38" t="e">
        <f ca="1">AN4-AO4*V$21</f>
        <v>#NAME?</v>
      </c>
      <c r="AQ4" s="39" t="e">
        <f ca="1">AN4+AO4*V$21</f>
        <v>#NAME?</v>
      </c>
    </row>
    <row r="5" spans="1:43" x14ac:dyDescent="0.35">
      <c r="A5" s="2">
        <v>77</v>
      </c>
      <c r="B5" s="2">
        <v>32125</v>
      </c>
      <c r="C5" s="2" t="s">
        <v>29</v>
      </c>
      <c r="D5" s="6">
        <v>0.5</v>
      </c>
      <c r="F5" s="2">
        <v>1</v>
      </c>
      <c r="G5" s="2">
        <v>1</v>
      </c>
      <c r="H5" s="2">
        <v>0</v>
      </c>
      <c r="I5" s="6">
        <f>D5</f>
        <v>0.5</v>
      </c>
      <c r="J5" s="2">
        <f t="shared" ref="J5:K18" si="0">A5</f>
        <v>77</v>
      </c>
      <c r="K5" s="2">
        <f>B5</f>
        <v>32125</v>
      </c>
      <c r="M5" t="e">
        <f ca="1"/>
        <v>#NAME?</v>
      </c>
      <c r="N5" s="40" t="e">
        <f ca="1"/>
        <v>#NAME?</v>
      </c>
      <c r="O5" t="e">
        <f ca="1"/>
        <v>#NAME?</v>
      </c>
      <c r="P5" t="e">
        <f ca="1"/>
        <v>#NAME?</v>
      </c>
      <c r="Q5" t="e">
        <f ca="1"/>
        <v>#NAME?</v>
      </c>
      <c r="R5" t="e">
        <f ca="1"/>
        <v>#NAME?</v>
      </c>
      <c r="S5" s="41" t="e">
        <f ca="1"/>
        <v>#NAME?</v>
      </c>
      <c r="U5" t="s">
        <v>55</v>
      </c>
      <c r="V5" s="42" t="e">
        <f ca="1">SUMSQ(AI4:AI18)</f>
        <v>#NAME?</v>
      </c>
      <c r="W5" s="44" t="e">
        <f ca="1">_xlfn.CHISQ.DIST.RT(V5,V9)</f>
        <v>#NAME?</v>
      </c>
      <c r="Y5" s="40" t="e">
        <f ca="1"/>
        <v>#NAME?</v>
      </c>
      <c r="Z5" t="e">
        <f ca="1"/>
        <v>#NAME?</v>
      </c>
      <c r="AA5" t="e">
        <f ca="1"/>
        <v>#NAME?</v>
      </c>
      <c r="AB5" s="41" t="e">
        <f ca="1"/>
        <v>#NAME?</v>
      </c>
      <c r="AC5" s="46" t="e">
        <f ca="1"/>
        <v>#NAME?</v>
      </c>
      <c r="AE5" s="40">
        <f t="shared" ref="AE5:AE18" si="1">J5</f>
        <v>77</v>
      </c>
      <c r="AF5" t="e">
        <f t="shared" ref="AF5:AF18" ca="1" si="2">K5*EXP(N$4+MMULT(G5:I5,N$5:N$7))</f>
        <v>#NAME?</v>
      </c>
      <c r="AG5" t="e">
        <f t="shared" ref="AG5:AG18" ca="1" si="3">AE5-AF5</f>
        <v>#NAME?</v>
      </c>
      <c r="AH5" t="e">
        <f t="shared" ref="AH5:AH18" ca="1" si="4">AG5/SQRT(AF5)</f>
        <v>#NAME?</v>
      </c>
      <c r="AI5" t="e">
        <f t="shared" ref="AI5:AI18" ca="1" si="5">SIGN(AG5)*SQRT(2*(IF(AE5=0,0,AE5*LN(AE5/AF5))-AG5))</f>
        <v>#NAME?</v>
      </c>
      <c r="AJ5" t="e">
        <f t="shared" ref="AJ5:AJ18" ca="1" si="6">AH5/SQRT(1-AL5)</f>
        <v>#NAME?</v>
      </c>
      <c r="AK5" t="e">
        <f t="shared" ref="AK5:AK18" ca="1" si="7">AI5/SQRT(1-AL5)</f>
        <v>#NAME?</v>
      </c>
      <c r="AL5" s="41" t="e">
        <f ca="1"/>
        <v>#NAME?</v>
      </c>
      <c r="AM5" t="e">
        <f t="shared" ref="AM5:AM18" ca="1" si="8">IF(AL5&lt;=$AL$19,"","*")</f>
        <v>#NAME?</v>
      </c>
      <c r="AN5" s="40" t="e">
        <f t="shared" ref="AN5:AN18" ca="1" si="9">AF5</f>
        <v>#NAME?</v>
      </c>
      <c r="AO5" t="e">
        <f t="array" aca="1" ref="AO5" ca="1">AN5*SQRT(MMULT(MMULT(DEsign(G5:I5),$Y$4:$AB$7),TRANSPOSE(DEsign(G5:I5))))</f>
        <v>#NAME?</v>
      </c>
      <c r="AP5" t="e">
        <f t="shared" ref="AP5:AP18" ca="1" si="10">AN5-AO5*V$21</f>
        <v>#NAME?</v>
      </c>
      <c r="AQ5" s="41" t="e">
        <f t="shared" ref="AQ5:AQ18" ca="1" si="11">AN5+AO5*V$21</f>
        <v>#NAME?</v>
      </c>
    </row>
    <row r="6" spans="1:43" x14ac:dyDescent="0.35">
      <c r="A6" s="2">
        <v>95</v>
      </c>
      <c r="B6" s="2">
        <v>34706</v>
      </c>
      <c r="C6" s="2" t="s">
        <v>29</v>
      </c>
      <c r="D6" s="6">
        <v>1</v>
      </c>
      <c r="F6" s="2">
        <v>1</v>
      </c>
      <c r="G6" s="2">
        <v>1</v>
      </c>
      <c r="H6" s="2">
        <v>0</v>
      </c>
      <c r="I6" s="6">
        <f t="shared" ref="I6:I18" si="12">D6</f>
        <v>1</v>
      </c>
      <c r="J6" s="2">
        <f t="shared" si="0"/>
        <v>95</v>
      </c>
      <c r="K6" s="2">
        <f t="shared" si="0"/>
        <v>34706</v>
      </c>
      <c r="M6" t="e">
        <f ca="1"/>
        <v>#NAME?</v>
      </c>
      <c r="N6" s="40" t="e">
        <f ca="1"/>
        <v>#NAME?</v>
      </c>
      <c r="O6" t="e">
        <f ca="1"/>
        <v>#NAME?</v>
      </c>
      <c r="P6" t="e">
        <f ca="1"/>
        <v>#NAME?</v>
      </c>
      <c r="Q6" t="e">
        <f ca="1"/>
        <v>#NAME?</v>
      </c>
      <c r="R6" t="e">
        <f ca="1"/>
        <v>#NAME?</v>
      </c>
      <c r="S6" s="41" t="e">
        <f ca="1"/>
        <v>#NAME?</v>
      </c>
      <c r="Y6" s="40" t="e">
        <f ca="1"/>
        <v>#NAME?</v>
      </c>
      <c r="Z6" t="e">
        <f ca="1"/>
        <v>#NAME?</v>
      </c>
      <c r="AA6" t="e">
        <f ca="1"/>
        <v>#NAME?</v>
      </c>
      <c r="AB6" s="41" t="e">
        <f ca="1"/>
        <v>#NAME?</v>
      </c>
      <c r="AC6" s="46" t="e">
        <f ca="1"/>
        <v>#NAME?</v>
      </c>
      <c r="AE6" s="40">
        <f t="shared" si="1"/>
        <v>95</v>
      </c>
      <c r="AF6" t="e">
        <f t="shared" ca="1" si="2"/>
        <v>#NAME?</v>
      </c>
      <c r="AG6" t="e">
        <f t="shared" ca="1" si="3"/>
        <v>#NAME?</v>
      </c>
      <c r="AH6" t="e">
        <f t="shared" ca="1" si="4"/>
        <v>#NAME?</v>
      </c>
      <c r="AI6" t="e">
        <f t="shared" ca="1" si="5"/>
        <v>#NAME?</v>
      </c>
      <c r="AJ6" t="e">
        <f t="shared" ca="1" si="6"/>
        <v>#NAME?</v>
      </c>
      <c r="AK6" t="e">
        <f t="shared" ca="1" si="7"/>
        <v>#NAME?</v>
      </c>
      <c r="AL6" s="41" t="e">
        <f ca="1"/>
        <v>#NAME?</v>
      </c>
      <c r="AM6" t="e">
        <f t="shared" ca="1" si="8"/>
        <v>#NAME?</v>
      </c>
      <c r="AN6" s="40" t="e">
        <f t="shared" ca="1" si="9"/>
        <v>#NAME?</v>
      </c>
      <c r="AO6" t="e">
        <f t="array" aca="1" ref="AO6" ca="1">AN6*SQRT(MMULT(MMULT(DEsign(G6:I6),$Y$4:$AB$7),TRANSPOSE(DEsign(G6:I6))))</f>
        <v>#NAME?</v>
      </c>
      <c r="AP6" t="e">
        <f t="shared" ca="1" si="10"/>
        <v>#NAME?</v>
      </c>
      <c r="AQ6" s="41" t="e">
        <f t="shared" ca="1" si="11"/>
        <v>#NAME?</v>
      </c>
    </row>
    <row r="7" spans="1:43" x14ac:dyDescent="0.35">
      <c r="A7" s="2">
        <v>92</v>
      </c>
      <c r="B7" s="2">
        <v>23440</v>
      </c>
      <c r="C7" s="2" t="s">
        <v>29</v>
      </c>
      <c r="D7" s="6">
        <v>1.5</v>
      </c>
      <c r="F7" s="2">
        <v>1</v>
      </c>
      <c r="G7" s="2">
        <v>1</v>
      </c>
      <c r="H7" s="2">
        <v>0</v>
      </c>
      <c r="I7" s="6">
        <f t="shared" si="12"/>
        <v>1.5</v>
      </c>
      <c r="J7" s="2">
        <f t="shared" si="0"/>
        <v>92</v>
      </c>
      <c r="K7" s="2">
        <f t="shared" si="0"/>
        <v>23440</v>
      </c>
      <c r="M7" t="e">
        <f ca="1"/>
        <v>#NAME?</v>
      </c>
      <c r="N7" s="42" t="e">
        <f ca="1"/>
        <v>#NAME?</v>
      </c>
      <c r="O7" s="43" t="e">
        <f ca="1"/>
        <v>#NAME?</v>
      </c>
      <c r="P7" s="43" t="e">
        <f ca="1"/>
        <v>#NAME?</v>
      </c>
      <c r="Q7" s="43" t="e">
        <f ca="1"/>
        <v>#NAME?</v>
      </c>
      <c r="R7" s="43" t="e">
        <f ca="1"/>
        <v>#NAME?</v>
      </c>
      <c r="S7" s="44" t="e">
        <f ca="1"/>
        <v>#NAME?</v>
      </c>
      <c r="U7" t="s">
        <v>30</v>
      </c>
      <c r="V7" s="45">
        <f>COUNT(J4:J18)</f>
        <v>15</v>
      </c>
      <c r="Y7" s="42" t="e">
        <f ca="1"/>
        <v>#NAME?</v>
      </c>
      <c r="Z7" s="43" t="e">
        <f ca="1"/>
        <v>#NAME?</v>
      </c>
      <c r="AA7" s="43" t="e">
        <f ca="1"/>
        <v>#NAME?</v>
      </c>
      <c r="AB7" s="44" t="e">
        <f ca="1"/>
        <v>#NAME?</v>
      </c>
      <c r="AC7" s="47" t="e">
        <f ca="1"/>
        <v>#NAME?</v>
      </c>
      <c r="AE7" s="40">
        <f t="shared" si="1"/>
        <v>92</v>
      </c>
      <c r="AF7" t="e">
        <f t="shared" ca="1" si="2"/>
        <v>#NAME?</v>
      </c>
      <c r="AG7" t="e">
        <f t="shared" ca="1" si="3"/>
        <v>#NAME?</v>
      </c>
      <c r="AH7" t="e">
        <f t="shared" ca="1" si="4"/>
        <v>#NAME?</v>
      </c>
      <c r="AI7" t="e">
        <f t="shared" ca="1" si="5"/>
        <v>#NAME?</v>
      </c>
      <c r="AJ7" t="e">
        <f t="shared" ca="1" si="6"/>
        <v>#NAME?</v>
      </c>
      <c r="AK7" t="e">
        <f t="shared" ca="1" si="7"/>
        <v>#NAME?</v>
      </c>
      <c r="AL7" s="41" t="e">
        <f ca="1"/>
        <v>#NAME?</v>
      </c>
      <c r="AM7" t="e">
        <f t="shared" ca="1" si="8"/>
        <v>#NAME?</v>
      </c>
      <c r="AN7" s="40" t="e">
        <f t="shared" ca="1" si="9"/>
        <v>#NAME?</v>
      </c>
      <c r="AO7" t="e">
        <f t="array" aca="1" ref="AO7" ca="1">AN7*SQRT(MMULT(MMULT(DEsign(G7:I7),$Y$4:$AB$7),TRANSPOSE(DEsign(G7:I7))))</f>
        <v>#NAME?</v>
      </c>
      <c r="AP7" t="e">
        <f t="shared" ca="1" si="10"/>
        <v>#NAME?</v>
      </c>
      <c r="AQ7" s="41" t="e">
        <f t="shared" ca="1" si="11"/>
        <v>#NAME?</v>
      </c>
    </row>
    <row r="8" spans="1:43" x14ac:dyDescent="0.35">
      <c r="A8" s="2">
        <v>103</v>
      </c>
      <c r="B8" s="2">
        <v>14133</v>
      </c>
      <c r="C8" s="2" t="s">
        <v>29</v>
      </c>
      <c r="D8" s="6">
        <v>2</v>
      </c>
      <c r="F8" s="2">
        <v>1</v>
      </c>
      <c r="G8" s="2">
        <v>1</v>
      </c>
      <c r="H8" s="2">
        <v>0</v>
      </c>
      <c r="I8" s="6">
        <f t="shared" si="12"/>
        <v>2</v>
      </c>
      <c r="J8" s="2">
        <f t="shared" si="0"/>
        <v>103</v>
      </c>
      <c r="K8" s="2">
        <f t="shared" si="0"/>
        <v>14133</v>
      </c>
      <c r="U8" t="s">
        <v>31</v>
      </c>
      <c r="V8" s="46">
        <f ca="1">COUNTA(M4:M8)</f>
        <v>4</v>
      </c>
      <c r="AE8" s="40">
        <f t="shared" si="1"/>
        <v>103</v>
      </c>
      <c r="AF8" t="e">
        <f t="shared" ca="1" si="2"/>
        <v>#NAME?</v>
      </c>
      <c r="AG8" t="e">
        <f t="shared" ca="1" si="3"/>
        <v>#NAME?</v>
      </c>
      <c r="AH8" t="e">
        <f t="shared" ca="1" si="4"/>
        <v>#NAME?</v>
      </c>
      <c r="AI8" t="e">
        <f t="shared" ca="1" si="5"/>
        <v>#NAME?</v>
      </c>
      <c r="AJ8" t="e">
        <f t="shared" ca="1" si="6"/>
        <v>#NAME?</v>
      </c>
      <c r="AK8" t="e">
        <f t="shared" ca="1" si="7"/>
        <v>#NAME?</v>
      </c>
      <c r="AL8" s="41" t="e">
        <f ca="1"/>
        <v>#NAME?</v>
      </c>
      <c r="AM8" t="e">
        <f t="shared" ca="1" si="8"/>
        <v>#NAME?</v>
      </c>
      <c r="AN8" s="40" t="e">
        <f t="shared" ca="1" si="9"/>
        <v>#NAME?</v>
      </c>
      <c r="AO8" t="e">
        <f t="array" aca="1" ref="AO8" ca="1">AN8*SQRT(MMULT(MMULT(DEsign(G8:I8),$Y$4:$AB$7),TRANSPOSE(DEsign(G8:I8))))</f>
        <v>#NAME?</v>
      </c>
      <c r="AP8" t="e">
        <f t="shared" ca="1" si="10"/>
        <v>#NAME?</v>
      </c>
      <c r="AQ8" s="41" t="e">
        <f t="shared" ca="1" si="11"/>
        <v>#NAME?</v>
      </c>
    </row>
    <row r="9" spans="1:43" x14ac:dyDescent="0.35">
      <c r="A9" s="2">
        <v>12</v>
      </c>
      <c r="B9" s="2">
        <v>11946</v>
      </c>
      <c r="C9" s="2" t="s">
        <v>34</v>
      </c>
      <c r="D9" s="6">
        <v>0</v>
      </c>
      <c r="F9" s="2">
        <v>1</v>
      </c>
      <c r="G9" s="2">
        <v>0</v>
      </c>
      <c r="H9" s="2">
        <v>1</v>
      </c>
      <c r="I9" s="6">
        <f t="shared" si="12"/>
        <v>0</v>
      </c>
      <c r="J9" s="2">
        <f t="shared" si="0"/>
        <v>12</v>
      </c>
      <c r="K9" s="2">
        <f t="shared" si="0"/>
        <v>11946</v>
      </c>
      <c r="M9" t="s">
        <v>63</v>
      </c>
      <c r="O9" s="48" t="e">
        <f ca="1">O12/O4</f>
        <v>#NAME?</v>
      </c>
      <c r="U9" t="s">
        <v>32</v>
      </c>
      <c r="V9" s="46">
        <f ca="1">V7-V8</f>
        <v>11</v>
      </c>
      <c r="Y9" t="s">
        <v>64</v>
      </c>
      <c r="Z9" s="48">
        <v>25</v>
      </c>
      <c r="AE9" s="40">
        <f t="shared" si="1"/>
        <v>12</v>
      </c>
      <c r="AF9" t="e">
        <f t="shared" ca="1" si="2"/>
        <v>#NAME?</v>
      </c>
      <c r="AG9" t="e">
        <f t="shared" ca="1" si="3"/>
        <v>#NAME?</v>
      </c>
      <c r="AH9" t="e">
        <f t="shared" ca="1" si="4"/>
        <v>#NAME?</v>
      </c>
      <c r="AI9" t="e">
        <f t="shared" ca="1" si="5"/>
        <v>#NAME?</v>
      </c>
      <c r="AJ9" t="e">
        <f t="shared" ca="1" si="6"/>
        <v>#NAME?</v>
      </c>
      <c r="AK9" t="e">
        <f t="shared" ca="1" si="7"/>
        <v>#NAME?</v>
      </c>
      <c r="AL9" s="41" t="e">
        <f ca="1"/>
        <v>#NAME?</v>
      </c>
      <c r="AM9" t="e">
        <f t="shared" ca="1" si="8"/>
        <v>#NAME?</v>
      </c>
      <c r="AN9" s="40" t="e">
        <f t="shared" ca="1" si="9"/>
        <v>#NAME?</v>
      </c>
      <c r="AO9" t="e">
        <f t="array" aca="1" ref="AO9" ca="1">AN9*SQRT(MMULT(MMULT(DEsign(G9:I9),$Y$4:$AB$7),TRANSPOSE(DEsign(G9:I9))))</f>
        <v>#NAME?</v>
      </c>
      <c r="AP9" t="e">
        <f t="shared" ca="1" si="10"/>
        <v>#NAME?</v>
      </c>
      <c r="AQ9" s="41" t="e">
        <f t="shared" ca="1" si="11"/>
        <v>#NAME?</v>
      </c>
    </row>
    <row r="10" spans="1:43" x14ac:dyDescent="0.35">
      <c r="A10" s="2">
        <v>29</v>
      </c>
      <c r="B10" s="2">
        <v>22782</v>
      </c>
      <c r="C10" s="2" t="s">
        <v>34</v>
      </c>
      <c r="D10" s="6">
        <v>0.5</v>
      </c>
      <c r="F10" s="2">
        <v>1</v>
      </c>
      <c r="G10" s="2">
        <v>0</v>
      </c>
      <c r="H10" s="2">
        <v>1</v>
      </c>
      <c r="I10" s="6">
        <f t="shared" si="12"/>
        <v>0.5</v>
      </c>
      <c r="J10" s="2">
        <f t="shared" si="0"/>
        <v>29</v>
      </c>
      <c r="K10" s="2">
        <f t="shared" si="0"/>
        <v>22782</v>
      </c>
      <c r="U10" t="s">
        <v>65</v>
      </c>
      <c r="V10" s="46" t="e">
        <f ca="1">V4/V9</f>
        <v>#NAME?</v>
      </c>
      <c r="AE10" s="40">
        <f t="shared" si="1"/>
        <v>29</v>
      </c>
      <c r="AF10" t="e">
        <f t="shared" ca="1" si="2"/>
        <v>#NAME?</v>
      </c>
      <c r="AG10" t="e">
        <f t="shared" ca="1" si="3"/>
        <v>#NAME?</v>
      </c>
      <c r="AH10" t="e">
        <f t="shared" ca="1" si="4"/>
        <v>#NAME?</v>
      </c>
      <c r="AI10" t="e">
        <f t="shared" ca="1" si="5"/>
        <v>#NAME?</v>
      </c>
      <c r="AJ10" t="e">
        <f t="shared" ca="1" si="6"/>
        <v>#NAME?</v>
      </c>
      <c r="AK10" t="e">
        <f t="shared" ca="1" si="7"/>
        <v>#NAME?</v>
      </c>
      <c r="AL10" s="41" t="e">
        <f ca="1"/>
        <v>#NAME?</v>
      </c>
      <c r="AM10" t="e">
        <f t="shared" ca="1" si="8"/>
        <v>#NAME?</v>
      </c>
      <c r="AN10" s="40" t="e">
        <f t="shared" ca="1" si="9"/>
        <v>#NAME?</v>
      </c>
      <c r="AO10" t="e">
        <f t="array" aca="1" ref="AO10" ca="1">AN10*SQRT(MMULT(MMULT(DEsign(G10:I10),$Y$4:$AB$7),TRANSPOSE(DEsign(G10:I10))))</f>
        <v>#NAME?</v>
      </c>
      <c r="AP10" t="e">
        <f t="shared" ca="1" si="10"/>
        <v>#NAME?</v>
      </c>
      <c r="AQ10" s="41" t="e">
        <f t="shared" ca="1" si="11"/>
        <v>#NAME?</v>
      </c>
    </row>
    <row r="11" spans="1:43" x14ac:dyDescent="0.35">
      <c r="A11" s="2">
        <v>31</v>
      </c>
      <c r="B11" s="2">
        <v>14566</v>
      </c>
      <c r="C11" s="2" t="s">
        <v>34</v>
      </c>
      <c r="D11" s="6">
        <v>1</v>
      </c>
      <c r="F11" s="2">
        <v>1</v>
      </c>
      <c r="G11" s="2">
        <v>0</v>
      </c>
      <c r="H11" s="2">
        <v>1</v>
      </c>
      <c r="I11" s="6">
        <f t="shared" si="12"/>
        <v>1</v>
      </c>
      <c r="J11" s="2">
        <f t="shared" si="0"/>
        <v>31</v>
      </c>
      <c r="K11" s="2">
        <f t="shared" si="0"/>
        <v>14566</v>
      </c>
      <c r="M11" s="2" t="e">
        <f t="array" aca="1" ref="M11:S15" ca="1">PoissonCoeff(G3:I18,J3:J18,TRUE,TRUE,K3:K18,TRUE,V20,Z9)</f>
        <v>#NAME?</v>
      </c>
      <c r="N11" s="2" t="e">
        <f ca="1"/>
        <v>#NAME?</v>
      </c>
      <c r="O11" s="2" t="e">
        <f ca="1"/>
        <v>#NAME?</v>
      </c>
      <c r="P11" s="2" t="e">
        <f ca="1"/>
        <v>#NAME?</v>
      </c>
      <c r="Q11" s="2" t="e">
        <f ca="1"/>
        <v>#NAME?</v>
      </c>
      <c r="R11" s="2" t="e">
        <f ca="1"/>
        <v>#NAME?</v>
      </c>
      <c r="S11" s="2" t="e">
        <f ca="1"/>
        <v>#NAME?</v>
      </c>
      <c r="U11" t="s">
        <v>66</v>
      </c>
      <c r="V11" s="47" t="e">
        <f ca="1">SQRT(V10)</f>
        <v>#NAME?</v>
      </c>
      <c r="AE11" s="40">
        <f t="shared" si="1"/>
        <v>31</v>
      </c>
      <c r="AF11" t="e">
        <f t="shared" ca="1" si="2"/>
        <v>#NAME?</v>
      </c>
      <c r="AG11" t="e">
        <f t="shared" ca="1" si="3"/>
        <v>#NAME?</v>
      </c>
      <c r="AH11" t="e">
        <f t="shared" ca="1" si="4"/>
        <v>#NAME?</v>
      </c>
      <c r="AI11" t="e">
        <f t="shared" ca="1" si="5"/>
        <v>#NAME?</v>
      </c>
      <c r="AJ11" t="e">
        <f t="shared" ca="1" si="6"/>
        <v>#NAME?</v>
      </c>
      <c r="AK11" t="e">
        <f t="shared" ca="1" si="7"/>
        <v>#NAME?</v>
      </c>
      <c r="AL11" s="41" t="e">
        <f ca="1"/>
        <v>#NAME?</v>
      </c>
      <c r="AM11" t="e">
        <f t="shared" ca="1" si="8"/>
        <v>#NAME?</v>
      </c>
      <c r="AN11" s="40" t="e">
        <f t="shared" ca="1" si="9"/>
        <v>#NAME?</v>
      </c>
      <c r="AO11" t="e">
        <f t="array" aca="1" ref="AO11" ca="1">AN11*SQRT(MMULT(MMULT(DEsign(G11:I11),$Y$4:$AB$7),TRANSPOSE(DEsign(G11:I11))))</f>
        <v>#NAME?</v>
      </c>
      <c r="AP11" t="e">
        <f t="shared" ca="1" si="10"/>
        <v>#NAME?</v>
      </c>
      <c r="AQ11" s="41" t="e">
        <f t="shared" ca="1" si="11"/>
        <v>#NAME?</v>
      </c>
    </row>
    <row r="12" spans="1:43" x14ac:dyDescent="0.35">
      <c r="A12" s="2">
        <v>43</v>
      </c>
      <c r="B12" s="2">
        <v>15654</v>
      </c>
      <c r="C12" s="2" t="s">
        <v>34</v>
      </c>
      <c r="D12" s="6">
        <v>1.5</v>
      </c>
      <c r="F12" s="2">
        <v>1</v>
      </c>
      <c r="G12" s="2">
        <v>0</v>
      </c>
      <c r="H12" s="2">
        <v>1</v>
      </c>
      <c r="I12" s="6">
        <f t="shared" si="12"/>
        <v>1.5</v>
      </c>
      <c r="J12" s="2">
        <f t="shared" si="0"/>
        <v>43</v>
      </c>
      <c r="K12" s="2">
        <f t="shared" si="0"/>
        <v>15654</v>
      </c>
      <c r="M12" t="e">
        <f ca="1"/>
        <v>#NAME?</v>
      </c>
      <c r="N12" s="37" t="e">
        <f ca="1"/>
        <v>#NAME?</v>
      </c>
      <c r="O12" s="38" t="e">
        <f ca="1"/>
        <v>#NAME?</v>
      </c>
      <c r="P12" s="38" t="e">
        <f ca="1"/>
        <v>#NAME?</v>
      </c>
      <c r="Q12" s="38" t="e">
        <f ca="1"/>
        <v>#NAME?</v>
      </c>
      <c r="R12" s="38" t="e">
        <f ca="1"/>
        <v>#NAME?</v>
      </c>
      <c r="S12" s="39" t="e">
        <f ca="1"/>
        <v>#NAME?</v>
      </c>
      <c r="AE12" s="40">
        <f t="shared" si="1"/>
        <v>43</v>
      </c>
      <c r="AF12" t="e">
        <f t="shared" ca="1" si="2"/>
        <v>#NAME?</v>
      </c>
      <c r="AG12" t="e">
        <f t="shared" ca="1" si="3"/>
        <v>#NAME?</v>
      </c>
      <c r="AH12" t="e">
        <f t="shared" ca="1" si="4"/>
        <v>#NAME?</v>
      </c>
      <c r="AI12" t="e">
        <f t="shared" ca="1" si="5"/>
        <v>#NAME?</v>
      </c>
      <c r="AJ12" t="e">
        <f t="shared" ca="1" si="6"/>
        <v>#NAME?</v>
      </c>
      <c r="AK12" t="e">
        <f t="shared" ca="1" si="7"/>
        <v>#NAME?</v>
      </c>
      <c r="AL12" s="41" t="e">
        <f ca="1"/>
        <v>#NAME?</v>
      </c>
      <c r="AM12" t="e">
        <f t="shared" ca="1" si="8"/>
        <v>#NAME?</v>
      </c>
      <c r="AN12" s="40" t="e">
        <f t="shared" ca="1" si="9"/>
        <v>#NAME?</v>
      </c>
      <c r="AO12" t="e">
        <f t="array" aca="1" ref="AO12" ca="1">AN12*SQRT(MMULT(MMULT(DEsign(G12:I12),$Y$4:$AB$7),TRANSPOSE(DEsign(G12:I12))))</f>
        <v>#NAME?</v>
      </c>
      <c r="AP12" t="e">
        <f t="shared" ca="1" si="10"/>
        <v>#NAME?</v>
      </c>
      <c r="AQ12" s="41" t="e">
        <f t="shared" ca="1" si="11"/>
        <v>#NAME?</v>
      </c>
    </row>
    <row r="13" spans="1:43" x14ac:dyDescent="0.35">
      <c r="A13" s="2">
        <v>56</v>
      </c>
      <c r="B13" s="2">
        <v>10097</v>
      </c>
      <c r="C13" s="2" t="s">
        <v>34</v>
      </c>
      <c r="D13" s="6">
        <v>2</v>
      </c>
      <c r="F13" s="2">
        <v>1</v>
      </c>
      <c r="G13" s="2">
        <v>0</v>
      </c>
      <c r="H13" s="2">
        <v>1</v>
      </c>
      <c r="I13" s="6">
        <f t="shared" si="12"/>
        <v>2</v>
      </c>
      <c r="J13" s="2">
        <f t="shared" si="0"/>
        <v>56</v>
      </c>
      <c r="K13" s="2">
        <f t="shared" si="0"/>
        <v>10097</v>
      </c>
      <c r="M13" t="e">
        <f ca="1"/>
        <v>#NAME?</v>
      </c>
      <c r="N13" s="40" t="e">
        <f ca="1"/>
        <v>#NAME?</v>
      </c>
      <c r="O13" t="e">
        <f ca="1"/>
        <v>#NAME?</v>
      </c>
      <c r="P13" t="e">
        <f ca="1"/>
        <v>#NAME?</v>
      </c>
      <c r="Q13" t="e">
        <f ca="1"/>
        <v>#NAME?</v>
      </c>
      <c r="R13" t="e">
        <f ca="1"/>
        <v>#NAME?</v>
      </c>
      <c r="S13" s="41" t="e">
        <f ca="1"/>
        <v>#NAME?</v>
      </c>
      <c r="U13" t="s">
        <v>37</v>
      </c>
      <c r="V13" s="45" t="e">
        <f ca="1">SUMPRODUCT(AE4:AE18,LN(K4:K18))+AF19*LN(AE19/SUM(K4:K18))-AE19-SUMPRODUCT(GAMMALN(AE4:AE18+1))</f>
        <v>#NAME?</v>
      </c>
      <c r="AE13" s="40">
        <f t="shared" si="1"/>
        <v>56</v>
      </c>
      <c r="AF13" t="e">
        <f t="shared" ca="1" si="2"/>
        <v>#NAME?</v>
      </c>
      <c r="AG13" t="e">
        <f t="shared" ca="1" si="3"/>
        <v>#NAME?</v>
      </c>
      <c r="AH13" t="e">
        <f t="shared" ca="1" si="4"/>
        <v>#NAME?</v>
      </c>
      <c r="AI13" t="e">
        <f t="shared" ca="1" si="5"/>
        <v>#NAME?</v>
      </c>
      <c r="AJ13" t="e">
        <f t="shared" ca="1" si="6"/>
        <v>#NAME?</v>
      </c>
      <c r="AK13" t="e">
        <f t="shared" ca="1" si="7"/>
        <v>#NAME?</v>
      </c>
      <c r="AL13" s="41" t="e">
        <f ca="1"/>
        <v>#NAME?</v>
      </c>
      <c r="AM13" t="e">
        <f t="shared" ca="1" si="8"/>
        <v>#NAME?</v>
      </c>
      <c r="AN13" s="40" t="e">
        <f t="shared" ca="1" si="9"/>
        <v>#NAME?</v>
      </c>
      <c r="AO13" t="e">
        <f t="array" aca="1" ref="AO13" ca="1">AN13*SQRT(MMULT(MMULT(DEsign(G13:I13),$Y$4:$AB$7),TRANSPOSE(DEsign(G13:I13))))</f>
        <v>#NAME?</v>
      </c>
      <c r="AP13" t="e">
        <f t="shared" ca="1" si="10"/>
        <v>#NAME?</v>
      </c>
      <c r="AQ13" s="41" t="e">
        <f t="shared" ca="1" si="11"/>
        <v>#NAME?</v>
      </c>
    </row>
    <row r="14" spans="1:43" x14ac:dyDescent="0.35">
      <c r="A14" s="2">
        <v>30</v>
      </c>
      <c r="B14" s="2">
        <v>50711</v>
      </c>
      <c r="C14" s="2" t="s">
        <v>38</v>
      </c>
      <c r="D14" s="6">
        <v>0</v>
      </c>
      <c r="F14" s="2">
        <v>1</v>
      </c>
      <c r="G14" s="2">
        <v>0</v>
      </c>
      <c r="H14" s="2">
        <v>0</v>
      </c>
      <c r="I14" s="6">
        <f t="shared" si="12"/>
        <v>0</v>
      </c>
      <c r="J14" s="2">
        <f t="shared" si="0"/>
        <v>30</v>
      </c>
      <c r="K14" s="2">
        <f t="shared" si="0"/>
        <v>50711</v>
      </c>
      <c r="M14" t="e">
        <f ca="1"/>
        <v>#NAME?</v>
      </c>
      <c r="N14" s="40" t="e">
        <f ca="1"/>
        <v>#NAME?</v>
      </c>
      <c r="O14" t="e">
        <f ca="1"/>
        <v>#NAME?</v>
      </c>
      <c r="P14" t="e">
        <f ca="1"/>
        <v>#NAME?</v>
      </c>
      <c r="Q14" t="e">
        <f ca="1"/>
        <v>#NAME?</v>
      </c>
      <c r="R14" t="e">
        <f ca="1"/>
        <v>#NAME?</v>
      </c>
      <c r="S14" s="41" t="e">
        <f ca="1"/>
        <v>#NAME?</v>
      </c>
      <c r="U14" t="s">
        <v>39</v>
      </c>
      <c r="V14" s="46" t="e">
        <f ca="1">POISSONLL(G4:I18,AE4:AE18,N4:N7,K4:K18)</f>
        <v>#NAME?</v>
      </c>
      <c r="AE14" s="40">
        <f t="shared" si="1"/>
        <v>30</v>
      </c>
      <c r="AF14" t="e">
        <f t="shared" ca="1" si="2"/>
        <v>#NAME?</v>
      </c>
      <c r="AG14" t="e">
        <f t="shared" ca="1" si="3"/>
        <v>#NAME?</v>
      </c>
      <c r="AH14" t="e">
        <f t="shared" ca="1" si="4"/>
        <v>#NAME?</v>
      </c>
      <c r="AI14" t="e">
        <f t="shared" ca="1" si="5"/>
        <v>#NAME?</v>
      </c>
      <c r="AJ14" t="e">
        <f t="shared" ca="1" si="6"/>
        <v>#NAME?</v>
      </c>
      <c r="AK14" t="e">
        <f t="shared" ca="1" si="7"/>
        <v>#NAME?</v>
      </c>
      <c r="AL14" s="41" t="e">
        <f ca="1"/>
        <v>#NAME?</v>
      </c>
      <c r="AM14" t="e">
        <f t="shared" ca="1" si="8"/>
        <v>#NAME?</v>
      </c>
      <c r="AN14" s="40" t="e">
        <f t="shared" ca="1" si="9"/>
        <v>#NAME?</v>
      </c>
      <c r="AO14" t="e">
        <f t="array" aca="1" ref="AO14" ca="1">AN14*SQRT(MMULT(MMULT(DEsign(G14:I14),$Y$4:$AB$7),TRANSPOSE(DEsign(G14:I14))))</f>
        <v>#NAME?</v>
      </c>
      <c r="AP14" t="e">
        <f t="shared" ca="1" si="10"/>
        <v>#NAME?</v>
      </c>
      <c r="AQ14" s="41" t="e">
        <f t="shared" ca="1" si="11"/>
        <v>#NAME?</v>
      </c>
    </row>
    <row r="15" spans="1:43" x14ac:dyDescent="0.35">
      <c r="A15" s="2">
        <v>36</v>
      </c>
      <c r="B15" s="2">
        <v>35332</v>
      </c>
      <c r="C15" s="2" t="s">
        <v>38</v>
      </c>
      <c r="D15" s="6">
        <v>0.5</v>
      </c>
      <c r="F15" s="2">
        <v>1</v>
      </c>
      <c r="G15" s="2">
        <v>0</v>
      </c>
      <c r="H15" s="2">
        <v>0</v>
      </c>
      <c r="I15" s="6">
        <f t="shared" si="12"/>
        <v>0.5</v>
      </c>
      <c r="J15" s="2">
        <f t="shared" si="0"/>
        <v>36</v>
      </c>
      <c r="K15" s="2">
        <f t="shared" si="0"/>
        <v>35332</v>
      </c>
      <c r="M15" t="e">
        <f ca="1"/>
        <v>#NAME?</v>
      </c>
      <c r="N15" s="42" t="e">
        <f ca="1"/>
        <v>#NAME?</v>
      </c>
      <c r="O15" s="43" t="e">
        <f ca="1"/>
        <v>#NAME?</v>
      </c>
      <c r="P15" s="43" t="e">
        <f ca="1"/>
        <v>#NAME?</v>
      </c>
      <c r="Q15" s="43" t="e">
        <f ca="1"/>
        <v>#NAME?</v>
      </c>
      <c r="R15" s="43" t="e">
        <f ca="1"/>
        <v>#NAME?</v>
      </c>
      <c r="S15" s="44" t="e">
        <f ca="1"/>
        <v>#NAME?</v>
      </c>
      <c r="U15" t="s">
        <v>40</v>
      </c>
      <c r="V15" s="46" t="e">
        <f ca="1">POISSONLL1(AE4:AE18)</f>
        <v>#NAME?</v>
      </c>
      <c r="AE15" s="40">
        <f t="shared" si="1"/>
        <v>36</v>
      </c>
      <c r="AF15" t="e">
        <f t="shared" ca="1" si="2"/>
        <v>#NAME?</v>
      </c>
      <c r="AG15" t="e">
        <f t="shared" ca="1" si="3"/>
        <v>#NAME?</v>
      </c>
      <c r="AH15" t="e">
        <f t="shared" ca="1" si="4"/>
        <v>#NAME?</v>
      </c>
      <c r="AI15" t="e">
        <f t="shared" ca="1" si="5"/>
        <v>#NAME?</v>
      </c>
      <c r="AJ15" t="e">
        <f t="shared" ca="1" si="6"/>
        <v>#NAME?</v>
      </c>
      <c r="AK15" t="e">
        <f t="shared" ca="1" si="7"/>
        <v>#NAME?</v>
      </c>
      <c r="AL15" s="41" t="e">
        <f ca="1"/>
        <v>#NAME?</v>
      </c>
      <c r="AM15" t="e">
        <f t="shared" ca="1" si="8"/>
        <v>#NAME?</v>
      </c>
      <c r="AN15" s="40" t="e">
        <f t="shared" ca="1" si="9"/>
        <v>#NAME?</v>
      </c>
      <c r="AO15" t="e">
        <f t="array" aca="1" ref="AO15" ca="1">AN15*SQRT(MMULT(MMULT(DEsign(G15:I15),$Y$4:$AB$7),TRANSPOSE(DEsign(G15:I15))))</f>
        <v>#NAME?</v>
      </c>
      <c r="AP15" t="e">
        <f t="shared" ca="1" si="10"/>
        <v>#NAME?</v>
      </c>
      <c r="AQ15" s="41" t="e">
        <f t="shared" ca="1" si="11"/>
        <v>#NAME?</v>
      </c>
    </row>
    <row r="16" spans="1:43" x14ac:dyDescent="0.35">
      <c r="A16" s="2">
        <v>62</v>
      </c>
      <c r="B16" s="2">
        <v>41707</v>
      </c>
      <c r="C16" s="2" t="s">
        <v>38</v>
      </c>
      <c r="D16" s="6">
        <v>1</v>
      </c>
      <c r="F16" s="2">
        <v>1</v>
      </c>
      <c r="G16" s="2">
        <v>0</v>
      </c>
      <c r="H16" s="2">
        <v>0</v>
      </c>
      <c r="I16" s="6">
        <f t="shared" si="12"/>
        <v>1</v>
      </c>
      <c r="J16" s="2">
        <f t="shared" si="0"/>
        <v>62</v>
      </c>
      <c r="K16" s="2">
        <f t="shared" si="0"/>
        <v>41707</v>
      </c>
      <c r="U16" t="s">
        <v>41</v>
      </c>
      <c r="V16" s="46" t="e">
        <f ca="1">(V14-V13)/(V15-V13)</f>
        <v>#NAME?</v>
      </c>
      <c r="AE16" s="40">
        <f t="shared" si="1"/>
        <v>62</v>
      </c>
      <c r="AF16" t="e">
        <f t="shared" ca="1" si="2"/>
        <v>#NAME?</v>
      </c>
      <c r="AG16" t="e">
        <f t="shared" ca="1" si="3"/>
        <v>#NAME?</v>
      </c>
      <c r="AH16" t="e">
        <f t="shared" ca="1" si="4"/>
        <v>#NAME?</v>
      </c>
      <c r="AI16" t="e">
        <f t="shared" ca="1" si="5"/>
        <v>#NAME?</v>
      </c>
      <c r="AJ16" t="e">
        <f t="shared" ca="1" si="6"/>
        <v>#NAME?</v>
      </c>
      <c r="AK16" t="e">
        <f t="shared" ca="1" si="7"/>
        <v>#NAME?</v>
      </c>
      <c r="AL16" s="41" t="e">
        <f ca="1"/>
        <v>#NAME?</v>
      </c>
      <c r="AM16" t="e">
        <f t="shared" ca="1" si="8"/>
        <v>#NAME?</v>
      </c>
      <c r="AN16" s="40" t="e">
        <f t="shared" ca="1" si="9"/>
        <v>#NAME?</v>
      </c>
      <c r="AO16" t="e">
        <f t="array" aca="1" ref="AO16" ca="1">AN16*SQRT(MMULT(MMULT(DEsign(G16:I16),$Y$4:$AB$7),TRANSPOSE(DEsign(G16:I16))))</f>
        <v>#NAME?</v>
      </c>
      <c r="AP16" t="e">
        <f t="shared" ca="1" si="10"/>
        <v>#NAME?</v>
      </c>
      <c r="AQ16" s="41" t="e">
        <f t="shared" ca="1" si="11"/>
        <v>#NAME?</v>
      </c>
    </row>
    <row r="17" spans="1:43" x14ac:dyDescent="0.35">
      <c r="A17" s="2">
        <v>57</v>
      </c>
      <c r="B17" s="2">
        <v>26319</v>
      </c>
      <c r="C17" s="2" t="s">
        <v>38</v>
      </c>
      <c r="D17" s="6">
        <v>1.5</v>
      </c>
      <c r="F17" s="2">
        <v>1</v>
      </c>
      <c r="G17" s="2">
        <v>0</v>
      </c>
      <c r="H17" s="2">
        <v>0</v>
      </c>
      <c r="I17" s="6">
        <f t="shared" si="12"/>
        <v>1.5</v>
      </c>
      <c r="J17" s="2">
        <f t="shared" si="0"/>
        <v>57</v>
      </c>
      <c r="K17" s="2">
        <f t="shared" si="0"/>
        <v>26319</v>
      </c>
      <c r="U17" t="s">
        <v>56</v>
      </c>
      <c r="V17" s="46" t="e">
        <f ca="1">2*(V8-V14)</f>
        <v>#NAME?</v>
      </c>
      <c r="AE17" s="40">
        <f t="shared" si="1"/>
        <v>57</v>
      </c>
      <c r="AF17" t="e">
        <f t="shared" ca="1" si="2"/>
        <v>#NAME?</v>
      </c>
      <c r="AG17" t="e">
        <f t="shared" ca="1" si="3"/>
        <v>#NAME?</v>
      </c>
      <c r="AH17" t="e">
        <f t="shared" ca="1" si="4"/>
        <v>#NAME?</v>
      </c>
      <c r="AI17" t="e">
        <f t="shared" ca="1" si="5"/>
        <v>#NAME?</v>
      </c>
      <c r="AJ17" t="e">
        <f t="shared" ca="1" si="6"/>
        <v>#NAME?</v>
      </c>
      <c r="AK17" t="e">
        <f t="shared" ca="1" si="7"/>
        <v>#NAME?</v>
      </c>
      <c r="AL17" s="41" t="e">
        <f ca="1"/>
        <v>#NAME?</v>
      </c>
      <c r="AM17" t="e">
        <f t="shared" ca="1" si="8"/>
        <v>#NAME?</v>
      </c>
      <c r="AN17" s="40" t="e">
        <f t="shared" ca="1" si="9"/>
        <v>#NAME?</v>
      </c>
      <c r="AO17" t="e">
        <f t="array" aca="1" ref="AO17" ca="1">AN17*SQRT(MMULT(MMULT(DEsign(G17:I17),$Y$4:$AB$7),TRANSPOSE(DEsign(G17:I17))))</f>
        <v>#NAME?</v>
      </c>
      <c r="AP17" t="e">
        <f t="shared" ca="1" si="10"/>
        <v>#NAME?</v>
      </c>
      <c r="AQ17" s="41" t="e">
        <f t="shared" ca="1" si="11"/>
        <v>#NAME?</v>
      </c>
    </row>
    <row r="18" spans="1:43" x14ac:dyDescent="0.35">
      <c r="A18" s="49">
        <v>71</v>
      </c>
      <c r="B18" s="49">
        <v>22978</v>
      </c>
      <c r="C18" s="49" t="s">
        <v>38</v>
      </c>
      <c r="D18" s="50">
        <v>2</v>
      </c>
      <c r="F18" s="49">
        <v>1</v>
      </c>
      <c r="G18" s="49">
        <v>0</v>
      </c>
      <c r="H18" s="49">
        <v>0</v>
      </c>
      <c r="I18" s="50">
        <f t="shared" si="12"/>
        <v>2</v>
      </c>
      <c r="J18" s="49">
        <f t="shared" si="0"/>
        <v>71</v>
      </c>
      <c r="K18" s="49">
        <f t="shared" si="0"/>
        <v>22978</v>
      </c>
      <c r="U18" t="s">
        <v>74</v>
      </c>
      <c r="V18" s="47" t="e">
        <f ca="1">V8*LN(V7)-2*V14</f>
        <v>#NAME?</v>
      </c>
      <c r="AE18" s="42">
        <f t="shared" si="1"/>
        <v>71</v>
      </c>
      <c r="AF18" s="43" t="e">
        <f t="shared" ca="1" si="2"/>
        <v>#NAME?</v>
      </c>
      <c r="AG18" s="43" t="e">
        <f t="shared" ca="1" si="3"/>
        <v>#NAME?</v>
      </c>
      <c r="AH18" s="43" t="e">
        <f t="shared" ca="1" si="4"/>
        <v>#NAME?</v>
      </c>
      <c r="AI18" s="43" t="e">
        <f t="shared" ca="1" si="5"/>
        <v>#NAME?</v>
      </c>
      <c r="AJ18" s="43" t="e">
        <f t="shared" ca="1" si="6"/>
        <v>#NAME?</v>
      </c>
      <c r="AK18" s="43" t="e">
        <f t="shared" ca="1" si="7"/>
        <v>#NAME?</v>
      </c>
      <c r="AL18" s="44" t="e">
        <f ca="1"/>
        <v>#NAME?</v>
      </c>
      <c r="AM18" t="e">
        <f t="shared" ca="1" si="8"/>
        <v>#NAME?</v>
      </c>
      <c r="AN18" s="42" t="e">
        <f t="shared" ca="1" si="9"/>
        <v>#NAME?</v>
      </c>
      <c r="AO18" s="43" t="e">
        <f t="array" aca="1" ref="AO18" ca="1">AN18*SQRT(MMULT(MMULT(DEsign(G18:I18),$Y$4:$AB$7),TRANSPOSE(DEsign(G18:I18))))</f>
        <v>#NAME?</v>
      </c>
      <c r="AP18" s="43" t="e">
        <f t="shared" ca="1" si="10"/>
        <v>#NAME?</v>
      </c>
      <c r="AQ18" s="44" t="e">
        <f t="shared" ca="1" si="11"/>
        <v>#NAME?</v>
      </c>
    </row>
    <row r="19" spans="1:43" x14ac:dyDescent="0.35">
      <c r="A19" s="19"/>
      <c r="B19" s="19"/>
      <c r="C19" s="3"/>
      <c r="D19" s="19"/>
      <c r="F19" s="3"/>
      <c r="G19" s="3"/>
      <c r="H19" s="3"/>
      <c r="I19" s="3"/>
      <c r="J19" s="3"/>
      <c r="K19" s="3"/>
      <c r="AE19">
        <f>SUM(AE4:AE18)</f>
        <v>839</v>
      </c>
      <c r="AF19" t="e">
        <f t="shared" ref="AF19:AG19" ca="1" si="13">SUM(AF4:AF18)</f>
        <v>#NAME?</v>
      </c>
      <c r="AG19" t="e">
        <f t="shared" ca="1" si="13"/>
        <v>#NAME?</v>
      </c>
      <c r="AL19">
        <f ca="1">2*V8/V7</f>
        <v>0.53333333333333333</v>
      </c>
    </row>
    <row r="20" spans="1:43" x14ac:dyDescent="0.35">
      <c r="U20" t="s">
        <v>33</v>
      </c>
      <c r="V20" s="45">
        <v>0.05</v>
      </c>
    </row>
    <row r="21" spans="1:43" x14ac:dyDescent="0.35">
      <c r="U21" t="s">
        <v>35</v>
      </c>
      <c r="V21" s="47">
        <f>_xlfn.NORM.S.INV(1-V20/2)</f>
        <v>1.9599639845400536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03B0-D2E4-4DFC-9C07-4AD895927119}">
  <sheetPr codeName="Sheet4"/>
  <dimension ref="A1:AM28"/>
  <sheetViews>
    <sheetView workbookViewId="0"/>
  </sheetViews>
  <sheetFormatPr defaultRowHeight="14.5" x14ac:dyDescent="0.35"/>
  <cols>
    <col min="1" max="1" width="7" style="2" customWidth="1"/>
    <col min="2" max="2" width="8.7265625" style="2"/>
    <col min="4" max="5" width="8.7265625" style="2"/>
    <col min="6" max="6" width="9.26953125" bestFit="1" customWidth="1"/>
    <col min="7" max="7" width="9.1796875" customWidth="1"/>
    <col min="12" max="14" width="8.81640625" bestFit="1" customWidth="1"/>
    <col min="15" max="15" width="8.7265625" customWidth="1"/>
    <col min="16" max="17" width="8.81640625" bestFit="1" customWidth="1"/>
    <col min="25" max="25" width="9.1796875" customWidth="1"/>
  </cols>
  <sheetData>
    <row r="1" spans="1:39" x14ac:dyDescent="0.35">
      <c r="A1" s="1" t="s">
        <v>0</v>
      </c>
      <c r="K1" t="s">
        <v>0</v>
      </c>
      <c r="S1" t="s">
        <v>44</v>
      </c>
      <c r="AA1" t="s">
        <v>59</v>
      </c>
      <c r="AJ1" t="s">
        <v>60</v>
      </c>
    </row>
    <row r="3" spans="1:39" x14ac:dyDescent="0.35">
      <c r="A3" s="4" t="s">
        <v>1</v>
      </c>
      <c r="B3" s="4" t="s">
        <v>2</v>
      </c>
      <c r="C3" s="4" t="s">
        <v>3</v>
      </c>
      <c r="D3" s="4" t="s">
        <v>4</v>
      </c>
      <c r="F3" s="4" t="s">
        <v>5</v>
      </c>
      <c r="G3" s="4" t="s">
        <v>4</v>
      </c>
      <c r="H3" s="4" t="s">
        <v>1</v>
      </c>
      <c r="I3" s="4" t="s">
        <v>2</v>
      </c>
      <c r="K3" s="2" t="e">
        <f t="array" aca="1" ref="K3:Q5" ca="1">PoissonCoeff(G3:G18,H3:H18,TRUE,,I3:I18,TRUE,T20,X7)</f>
        <v>#NAME?</v>
      </c>
      <c r="L3" s="2" t="e">
        <f ca="1"/>
        <v>#NAME?</v>
      </c>
      <c r="M3" s="2" t="e">
        <f ca="1"/>
        <v>#NAME?</v>
      </c>
      <c r="N3" s="2" t="e">
        <f ca="1"/>
        <v>#NAME?</v>
      </c>
      <c r="O3" s="2" t="e">
        <f ca="1"/>
        <v>#NAME?</v>
      </c>
      <c r="P3" s="2" t="e">
        <f ca="1"/>
        <v>#NAME?</v>
      </c>
      <c r="Q3" s="2" t="e">
        <f ca="1"/>
        <v>#NAME?</v>
      </c>
      <c r="T3" s="2" t="s">
        <v>53</v>
      </c>
      <c r="U3" s="2" t="s">
        <v>48</v>
      </c>
      <c r="W3" t="s">
        <v>45</v>
      </c>
      <c r="Y3" t="s">
        <v>61</v>
      </c>
      <c r="AA3" s="2" t="s">
        <v>8</v>
      </c>
      <c r="AB3" s="2" t="s">
        <v>62</v>
      </c>
      <c r="AC3" s="2" t="s">
        <v>16</v>
      </c>
      <c r="AD3" s="2" t="s">
        <v>17</v>
      </c>
      <c r="AE3" s="2" t="s">
        <v>18</v>
      </c>
      <c r="AF3" s="2" t="s">
        <v>19</v>
      </c>
      <c r="AG3" s="2" t="s">
        <v>20</v>
      </c>
      <c r="AH3" s="2" t="s">
        <v>21</v>
      </c>
      <c r="AJ3" s="2" t="s">
        <v>23</v>
      </c>
      <c r="AK3" s="2" t="s">
        <v>24</v>
      </c>
      <c r="AL3" s="2" t="s">
        <v>25</v>
      </c>
      <c r="AM3" s="2" t="s">
        <v>26</v>
      </c>
    </row>
    <row r="4" spans="1:39" x14ac:dyDescent="0.35">
      <c r="A4" s="2">
        <v>45</v>
      </c>
      <c r="B4" s="2">
        <v>24786</v>
      </c>
      <c r="C4" s="2" t="s">
        <v>29</v>
      </c>
      <c r="D4" s="6">
        <v>0</v>
      </c>
      <c r="F4" s="2">
        <v>1</v>
      </c>
      <c r="G4" s="6">
        <f>D4</f>
        <v>0</v>
      </c>
      <c r="H4" s="2">
        <f>A4</f>
        <v>45</v>
      </c>
      <c r="I4" s="2">
        <f>B4</f>
        <v>24786</v>
      </c>
      <c r="K4" t="e">
        <f ca="1"/>
        <v>#NAME?</v>
      </c>
      <c r="L4" s="37" t="e">
        <f ca="1"/>
        <v>#NAME?</v>
      </c>
      <c r="M4" s="38" t="e">
        <f ca="1"/>
        <v>#NAME?</v>
      </c>
      <c r="N4" s="38" t="e">
        <f ca="1"/>
        <v>#NAME?</v>
      </c>
      <c r="O4" s="38" t="e">
        <f ca="1"/>
        <v>#NAME?</v>
      </c>
      <c r="P4" s="38" t="e">
        <f ca="1"/>
        <v>#NAME?</v>
      </c>
      <c r="Q4" s="39" t="e">
        <f ca="1"/>
        <v>#NAME?</v>
      </c>
      <c r="S4" t="s">
        <v>54</v>
      </c>
      <c r="T4" s="37" t="e">
        <f ca="1">SUMSQ(AD4:AD18)</f>
        <v>#NAME?</v>
      </c>
      <c r="U4" s="39" t="e">
        <f ca="1">CHIDIST(T4,T9)</f>
        <v>#NAME?</v>
      </c>
      <c r="W4" s="37" t="e">
        <f t="array" aca="1" ref="W4:X5" ca="1">MINVERSE(MMULT(TRANSPOSE(DEsign(G4:G18)),AB4:AB18*DEsign(G4:G18)))</f>
        <v>#NAME?</v>
      </c>
      <c r="X4" s="39" t="e">
        <f ca="1"/>
        <v>#NAME?</v>
      </c>
      <c r="Y4" s="45" t="e">
        <f t="array" aca="1" ref="Y4:Y5" ca="1">MMULT(W4:X5,MMULT(TRANSPOSE(DEsign(G4:G18)),AC4:AC18))</f>
        <v>#NAME?</v>
      </c>
      <c r="AA4" s="37">
        <f>H4</f>
        <v>45</v>
      </c>
      <c r="AB4" s="38" t="e">
        <f ca="1">I4*EXP(L$4+MMULT(G4,L$5))</f>
        <v>#NAME?</v>
      </c>
      <c r="AC4" s="38" t="e">
        <f ca="1">AA4-AB4</f>
        <v>#NAME?</v>
      </c>
      <c r="AD4" s="38" t="e">
        <f ca="1">AC4/SQRT(AB4)</f>
        <v>#NAME?</v>
      </c>
      <c r="AE4" s="38" t="e">
        <f ca="1">SIGN(AC4)*SQRT(2*(AA4*LN(AA4/AB4)-AC4))</f>
        <v>#NAME?</v>
      </c>
      <c r="AF4" s="38" t="e">
        <f ca="1">AD4/SQRT(1-AH4)</f>
        <v>#NAME?</v>
      </c>
      <c r="AG4" s="38" t="e">
        <f ca="1">AE4/SQRT(1-AH4)</f>
        <v>#NAME?</v>
      </c>
      <c r="AH4" s="39" t="e">
        <f t="array" aca="1" ref="AH4:AH18" ca="1">DIAG(MMULT(MMULT(AB4:AB18*DEsign(G4:G18),MINVERSE(MMULT(TRANSPOSE(DEsign(G4:G18)),AB4:AB18*DEsign(G4:G18)))),TRANSPOSE(DEsign(G4:G18))))</f>
        <v>#NAME?</v>
      </c>
      <c r="AI4" t="e">
        <f ca="1">IF(AH4&lt;=$AH$19,"","*")</f>
        <v>#NAME?</v>
      </c>
      <c r="AJ4" s="37" t="e">
        <f ca="1">AB4</f>
        <v>#NAME?</v>
      </c>
      <c r="AK4" s="38" t="s">
        <v>75</v>
      </c>
      <c r="AL4" s="38" t="e">
        <f t="shared" ref="AL4:AL18" ca="1" si="0">AJ4-AK4*T$21</f>
        <v>#NAME?</v>
      </c>
      <c r="AM4" s="39" t="e">
        <f t="shared" ref="AM4:AM18" ca="1" si="1">AJ4+AK4*T$21</f>
        <v>#NAME?</v>
      </c>
    </row>
    <row r="5" spans="1:39" x14ac:dyDescent="0.35">
      <c r="A5" s="2">
        <v>77</v>
      </c>
      <c r="B5" s="2">
        <v>32125</v>
      </c>
      <c r="C5" s="2" t="s">
        <v>29</v>
      </c>
      <c r="D5" s="6">
        <v>0.5</v>
      </c>
      <c r="F5" s="2">
        <v>1</v>
      </c>
      <c r="G5" s="6">
        <f>D5</f>
        <v>0.5</v>
      </c>
      <c r="H5" s="2">
        <f t="shared" ref="H5:I18" si="2">A5</f>
        <v>77</v>
      </c>
      <c r="I5" s="2">
        <f>B5</f>
        <v>32125</v>
      </c>
      <c r="K5" t="e">
        <f ca="1"/>
        <v>#NAME?</v>
      </c>
      <c r="L5" s="42" t="e">
        <f ca="1"/>
        <v>#NAME?</v>
      </c>
      <c r="M5" s="43" t="e">
        <f ca="1"/>
        <v>#NAME?</v>
      </c>
      <c r="N5" s="43" t="e">
        <f ca="1"/>
        <v>#NAME?</v>
      </c>
      <c r="O5" s="43" t="e">
        <f ca="1"/>
        <v>#NAME?</v>
      </c>
      <c r="P5" s="43" t="e">
        <f ca="1"/>
        <v>#NAME?</v>
      </c>
      <c r="Q5" s="44" t="e">
        <f ca="1"/>
        <v>#NAME?</v>
      </c>
      <c r="S5" t="s">
        <v>55</v>
      </c>
      <c r="T5" s="42" t="e">
        <f ca="1">SUMSQ(AE4:AE18)</f>
        <v>#NAME?</v>
      </c>
      <c r="U5" s="44" t="e">
        <f ca="1">CHIDIST(T5,T9)</f>
        <v>#NAME?</v>
      </c>
      <c r="W5" s="42" t="e">
        <f ca="1"/>
        <v>#NAME?</v>
      </c>
      <c r="X5" s="44" t="e">
        <f ca="1"/>
        <v>#NAME?</v>
      </c>
      <c r="Y5" s="47" t="e">
        <f ca="1"/>
        <v>#NAME?</v>
      </c>
      <c r="AA5" s="40">
        <f t="shared" ref="AA5:AA18" si="3">H5</f>
        <v>77</v>
      </c>
      <c r="AB5" t="e">
        <f t="shared" ref="AB5:AB18" ca="1" si="4">I5*EXP(L$4+MMULT(G5,L$5))</f>
        <v>#NAME?</v>
      </c>
      <c r="AC5" t="e">
        <f t="shared" ref="AC5:AC18" ca="1" si="5">AA5-AB5</f>
        <v>#NAME?</v>
      </c>
      <c r="AD5" t="e">
        <f t="shared" ref="AD5:AD18" ca="1" si="6">AC5/SQRT(AB5)</f>
        <v>#NAME?</v>
      </c>
      <c r="AE5" t="e">
        <f t="shared" ref="AE5:AE18" ca="1" si="7">SIGN(AC5)*SQRT(2*(AA5*LN(AA5/AB5)-AC5))</f>
        <v>#NAME?</v>
      </c>
      <c r="AF5" t="e">
        <f t="shared" ref="AF5:AF18" ca="1" si="8">AD5/SQRT(1-AH5)</f>
        <v>#NAME?</v>
      </c>
      <c r="AG5" t="e">
        <f t="shared" ref="AG5:AG18" ca="1" si="9">AE5/SQRT(1-AH5)</f>
        <v>#NAME?</v>
      </c>
      <c r="AH5" s="41" t="e">
        <f ca="1"/>
        <v>#NAME?</v>
      </c>
      <c r="AI5" t="e">
        <f t="shared" ref="AI5:AI18" ca="1" si="10">IF(AH5&lt;=$AH$19,"","*")</f>
        <v>#NAME?</v>
      </c>
      <c r="AJ5" s="40" t="e">
        <f t="shared" ref="AJ5:AJ18" ca="1" si="11">AB5</f>
        <v>#NAME?</v>
      </c>
      <c r="AK5" t="e">
        <f t="array" aca="1" ref="AK5" ca="1">AJ5*SQRT(MMULT(MMULT(DEsign(G5),$W$4:$X$5),TRANSPOSE(DEsign(G5))))</f>
        <v>#NAME?</v>
      </c>
      <c r="AL5" t="e">
        <f t="shared" ca="1" si="0"/>
        <v>#NAME?</v>
      </c>
      <c r="AM5" s="41" t="e">
        <f t="shared" ca="1" si="1"/>
        <v>#NAME?</v>
      </c>
    </row>
    <row r="6" spans="1:39" x14ac:dyDescent="0.35">
      <c r="A6" s="2">
        <v>95</v>
      </c>
      <c r="B6" s="2">
        <v>34706</v>
      </c>
      <c r="C6" s="2" t="s">
        <v>29</v>
      </c>
      <c r="D6" s="6">
        <v>1</v>
      </c>
      <c r="F6" s="2">
        <v>1</v>
      </c>
      <c r="G6" s="6">
        <f t="shared" ref="G6:G18" si="12">D6</f>
        <v>1</v>
      </c>
      <c r="H6" s="2">
        <f t="shared" si="2"/>
        <v>95</v>
      </c>
      <c r="I6" s="2">
        <f t="shared" si="2"/>
        <v>34706</v>
      </c>
      <c r="AA6" s="40">
        <f t="shared" si="3"/>
        <v>95</v>
      </c>
      <c r="AB6" t="e">
        <f t="shared" ca="1" si="4"/>
        <v>#NAME?</v>
      </c>
      <c r="AC6" t="e">
        <f t="shared" ca="1" si="5"/>
        <v>#NAME?</v>
      </c>
      <c r="AD6" t="e">
        <f t="shared" ca="1" si="6"/>
        <v>#NAME?</v>
      </c>
      <c r="AE6" t="e">
        <f t="shared" ca="1" si="7"/>
        <v>#NAME?</v>
      </c>
      <c r="AF6" t="e">
        <f t="shared" ca="1" si="8"/>
        <v>#NAME?</v>
      </c>
      <c r="AG6" t="e">
        <f t="shared" ca="1" si="9"/>
        <v>#NAME?</v>
      </c>
      <c r="AH6" s="41" t="e">
        <f ca="1"/>
        <v>#NAME?</v>
      </c>
      <c r="AI6" t="e">
        <f t="shared" ca="1" si="10"/>
        <v>#NAME?</v>
      </c>
      <c r="AJ6" s="40" t="e">
        <f t="shared" ca="1" si="11"/>
        <v>#NAME?</v>
      </c>
      <c r="AK6" t="e">
        <f t="array" aca="1" ref="AK6" ca="1">AJ6*SQRT(MMULT(MMULT(DEsign(G6),$W$4:$X$5),TRANSPOSE(DEsign(G6))))</f>
        <v>#NAME?</v>
      </c>
      <c r="AL6" t="e">
        <f t="shared" ca="1" si="0"/>
        <v>#NAME?</v>
      </c>
      <c r="AM6" s="41" t="e">
        <f t="shared" ca="1" si="1"/>
        <v>#NAME?</v>
      </c>
    </row>
    <row r="7" spans="1:39" x14ac:dyDescent="0.35">
      <c r="A7" s="2">
        <v>92</v>
      </c>
      <c r="B7" s="2">
        <v>23440</v>
      </c>
      <c r="C7" s="2" t="s">
        <v>29</v>
      </c>
      <c r="D7" s="6">
        <v>1.5</v>
      </c>
      <c r="F7" s="2">
        <v>1</v>
      </c>
      <c r="G7" s="6">
        <f t="shared" si="12"/>
        <v>1.5</v>
      </c>
      <c r="H7" s="2">
        <f t="shared" si="2"/>
        <v>92</v>
      </c>
      <c r="I7" s="2">
        <f t="shared" si="2"/>
        <v>23440</v>
      </c>
      <c r="K7" t="s">
        <v>63</v>
      </c>
      <c r="M7" s="48" t="e">
        <f ca="1">M10/M4</f>
        <v>#NAME?</v>
      </c>
      <c r="S7" t="s">
        <v>30</v>
      </c>
      <c r="T7" s="45">
        <f>COUNT(H4:H18)</f>
        <v>15</v>
      </c>
      <c r="W7" t="s">
        <v>64</v>
      </c>
      <c r="X7" s="48">
        <v>25</v>
      </c>
      <c r="AA7" s="40">
        <f t="shared" si="3"/>
        <v>92</v>
      </c>
      <c r="AB7" t="e">
        <f t="shared" ca="1" si="4"/>
        <v>#NAME?</v>
      </c>
      <c r="AC7" t="e">
        <f t="shared" ca="1" si="5"/>
        <v>#NAME?</v>
      </c>
      <c r="AD7" t="e">
        <f t="shared" ca="1" si="6"/>
        <v>#NAME?</v>
      </c>
      <c r="AE7" t="e">
        <f t="shared" ca="1" si="7"/>
        <v>#NAME?</v>
      </c>
      <c r="AF7" t="e">
        <f t="shared" ca="1" si="8"/>
        <v>#NAME?</v>
      </c>
      <c r="AG7" t="e">
        <f t="shared" ca="1" si="9"/>
        <v>#NAME?</v>
      </c>
      <c r="AH7" s="41" t="e">
        <f ca="1"/>
        <v>#NAME?</v>
      </c>
      <c r="AI7" t="e">
        <f t="shared" ca="1" si="10"/>
        <v>#NAME?</v>
      </c>
      <c r="AJ7" s="40" t="e">
        <f t="shared" ca="1" si="11"/>
        <v>#NAME?</v>
      </c>
      <c r="AK7" t="e">
        <f t="array" aca="1" ref="AK7" ca="1">AJ7*SQRT(MMULT(MMULT(DEsign(G7),$W$4:$X$5),TRANSPOSE(DEsign(G7))))</f>
        <v>#NAME?</v>
      </c>
      <c r="AL7" t="e">
        <f t="shared" ca="1" si="0"/>
        <v>#NAME?</v>
      </c>
      <c r="AM7" s="41" t="e">
        <f t="shared" ca="1" si="1"/>
        <v>#NAME?</v>
      </c>
    </row>
    <row r="8" spans="1:39" x14ac:dyDescent="0.35">
      <c r="A8" s="2">
        <v>103</v>
      </c>
      <c r="B8" s="2">
        <v>14133</v>
      </c>
      <c r="C8" s="2" t="s">
        <v>29</v>
      </c>
      <c r="D8" s="6">
        <v>2</v>
      </c>
      <c r="F8" s="2">
        <v>1</v>
      </c>
      <c r="G8" s="6">
        <f t="shared" si="12"/>
        <v>2</v>
      </c>
      <c r="H8" s="2">
        <f t="shared" si="2"/>
        <v>103</v>
      </c>
      <c r="I8" s="2">
        <f t="shared" si="2"/>
        <v>14133</v>
      </c>
      <c r="S8" t="s">
        <v>31</v>
      </c>
      <c r="T8" s="46">
        <f ca="1">COUNTA(K4:K6)</f>
        <v>2</v>
      </c>
      <c r="AA8" s="40">
        <f t="shared" si="3"/>
        <v>103</v>
      </c>
      <c r="AB8" t="e">
        <f t="shared" ca="1" si="4"/>
        <v>#NAME?</v>
      </c>
      <c r="AC8" t="e">
        <f t="shared" ca="1" si="5"/>
        <v>#NAME?</v>
      </c>
      <c r="AD8" t="e">
        <f t="shared" ca="1" si="6"/>
        <v>#NAME?</v>
      </c>
      <c r="AE8" t="e">
        <f t="shared" ca="1" si="7"/>
        <v>#NAME?</v>
      </c>
      <c r="AF8" t="e">
        <f t="shared" ca="1" si="8"/>
        <v>#NAME?</v>
      </c>
      <c r="AG8" t="e">
        <f t="shared" ca="1" si="9"/>
        <v>#NAME?</v>
      </c>
      <c r="AH8" s="41" t="e">
        <f ca="1"/>
        <v>#NAME?</v>
      </c>
      <c r="AI8" t="e">
        <f t="shared" ca="1" si="10"/>
        <v>#NAME?</v>
      </c>
      <c r="AJ8" s="40" t="e">
        <f t="shared" ca="1" si="11"/>
        <v>#NAME?</v>
      </c>
      <c r="AK8" t="e">
        <f t="array" aca="1" ref="AK8" ca="1">AJ8*SQRT(MMULT(MMULT(DEsign(G8),$W$4:$X$5),TRANSPOSE(DEsign(G8))))</f>
        <v>#NAME?</v>
      </c>
      <c r="AL8" t="e">
        <f t="shared" ca="1" si="0"/>
        <v>#NAME?</v>
      </c>
      <c r="AM8" s="41" t="e">
        <f t="shared" ca="1" si="1"/>
        <v>#NAME?</v>
      </c>
    </row>
    <row r="9" spans="1:39" x14ac:dyDescent="0.35">
      <c r="A9" s="2">
        <v>12</v>
      </c>
      <c r="B9" s="2">
        <v>11946</v>
      </c>
      <c r="C9" s="2" t="s">
        <v>34</v>
      </c>
      <c r="D9" s="6">
        <v>0</v>
      </c>
      <c r="F9" s="2">
        <v>1</v>
      </c>
      <c r="G9" s="6">
        <f t="shared" si="12"/>
        <v>0</v>
      </c>
      <c r="H9" s="2">
        <f t="shared" si="2"/>
        <v>12</v>
      </c>
      <c r="I9" s="2">
        <f t="shared" si="2"/>
        <v>11946</v>
      </c>
      <c r="K9" s="2" t="e">
        <f t="array" aca="1" ref="K9:Q11" ca="1">PoissonCoeff(G3:G18,H3:H18,TRUE,TRUE,I3:I18,TRUE,T20,X7)</f>
        <v>#NAME?</v>
      </c>
      <c r="L9" s="2" t="e">
        <f ca="1"/>
        <v>#NAME?</v>
      </c>
      <c r="M9" s="2" t="e">
        <f ca="1"/>
        <v>#NAME?</v>
      </c>
      <c r="N9" s="2" t="e">
        <f ca="1"/>
        <v>#NAME?</v>
      </c>
      <c r="O9" s="2" t="e">
        <f ca="1"/>
        <v>#NAME?</v>
      </c>
      <c r="P9" s="2" t="e">
        <f ca="1"/>
        <v>#NAME?</v>
      </c>
      <c r="Q9" s="2" t="e">
        <f ca="1"/>
        <v>#NAME?</v>
      </c>
      <c r="S9" t="s">
        <v>32</v>
      </c>
      <c r="T9" s="46">
        <f ca="1">T7-T8</f>
        <v>13</v>
      </c>
      <c r="AA9" s="40">
        <f t="shared" si="3"/>
        <v>12</v>
      </c>
      <c r="AB9" t="e">
        <f t="shared" ca="1" si="4"/>
        <v>#NAME?</v>
      </c>
      <c r="AC9" t="e">
        <f t="shared" ca="1" si="5"/>
        <v>#NAME?</v>
      </c>
      <c r="AD9" t="e">
        <f t="shared" ca="1" si="6"/>
        <v>#NAME?</v>
      </c>
      <c r="AE9" t="e">
        <f t="shared" ca="1" si="7"/>
        <v>#NAME?</v>
      </c>
      <c r="AF9" t="e">
        <f t="shared" ca="1" si="8"/>
        <v>#NAME?</v>
      </c>
      <c r="AG9" t="e">
        <f t="shared" ca="1" si="9"/>
        <v>#NAME?</v>
      </c>
      <c r="AH9" s="41" t="e">
        <f ca="1"/>
        <v>#NAME?</v>
      </c>
      <c r="AI9" t="e">
        <f t="shared" ca="1" si="10"/>
        <v>#NAME?</v>
      </c>
      <c r="AJ9" s="40" t="e">
        <f t="shared" ca="1" si="11"/>
        <v>#NAME?</v>
      </c>
      <c r="AK9" t="e">
        <f t="array" aca="1" ref="AK9" ca="1">AJ9*SQRT(MMULT(MMULT(DEsign(G9),$W$4:$X$5),TRANSPOSE(DEsign(G9))))</f>
        <v>#NAME?</v>
      </c>
      <c r="AL9" t="e">
        <f t="shared" ca="1" si="0"/>
        <v>#NAME?</v>
      </c>
      <c r="AM9" s="41" t="e">
        <f t="shared" ca="1" si="1"/>
        <v>#NAME?</v>
      </c>
    </row>
    <row r="10" spans="1:39" x14ac:dyDescent="0.35">
      <c r="A10" s="2">
        <v>29</v>
      </c>
      <c r="B10" s="2">
        <v>22782</v>
      </c>
      <c r="C10" s="2" t="s">
        <v>34</v>
      </c>
      <c r="D10" s="6">
        <v>0.5</v>
      </c>
      <c r="F10" s="2">
        <v>1</v>
      </c>
      <c r="G10" s="6">
        <f t="shared" si="12"/>
        <v>0.5</v>
      </c>
      <c r="H10" s="2">
        <f t="shared" si="2"/>
        <v>29</v>
      </c>
      <c r="I10" s="2">
        <f t="shared" si="2"/>
        <v>22782</v>
      </c>
      <c r="K10" t="e">
        <f ca="1"/>
        <v>#NAME?</v>
      </c>
      <c r="L10" s="37" t="e">
        <f ca="1"/>
        <v>#NAME?</v>
      </c>
      <c r="M10" s="38" t="e">
        <f ca="1"/>
        <v>#NAME?</v>
      </c>
      <c r="N10" s="38" t="e">
        <f ca="1"/>
        <v>#NAME?</v>
      </c>
      <c r="O10" s="38" t="e">
        <f ca="1"/>
        <v>#NAME?</v>
      </c>
      <c r="P10" s="38" t="e">
        <f ca="1"/>
        <v>#NAME?</v>
      </c>
      <c r="Q10" s="39" t="e">
        <f ca="1"/>
        <v>#NAME?</v>
      </c>
      <c r="S10" t="s">
        <v>65</v>
      </c>
      <c r="T10" s="46" t="e">
        <f ca="1">T4/T9</f>
        <v>#NAME?</v>
      </c>
      <c r="AA10" s="40">
        <f t="shared" si="3"/>
        <v>29</v>
      </c>
      <c r="AB10" t="e">
        <f t="shared" ca="1" si="4"/>
        <v>#NAME?</v>
      </c>
      <c r="AC10" t="e">
        <f t="shared" ca="1" si="5"/>
        <v>#NAME?</v>
      </c>
      <c r="AD10" t="e">
        <f t="shared" ca="1" si="6"/>
        <v>#NAME?</v>
      </c>
      <c r="AE10" t="e">
        <f t="shared" ca="1" si="7"/>
        <v>#NAME?</v>
      </c>
      <c r="AF10" t="e">
        <f t="shared" ca="1" si="8"/>
        <v>#NAME?</v>
      </c>
      <c r="AG10" t="e">
        <f t="shared" ca="1" si="9"/>
        <v>#NAME?</v>
      </c>
      <c r="AH10" s="41" t="e">
        <f ca="1"/>
        <v>#NAME?</v>
      </c>
      <c r="AI10" t="e">
        <f t="shared" ca="1" si="10"/>
        <v>#NAME?</v>
      </c>
      <c r="AJ10" s="40" t="e">
        <f t="shared" ca="1" si="11"/>
        <v>#NAME?</v>
      </c>
      <c r="AK10" t="e">
        <f t="array" aca="1" ref="AK10" ca="1">AJ10*SQRT(MMULT(MMULT(DEsign(G10),$W$4:$X$5),TRANSPOSE(DEsign(G10))))</f>
        <v>#NAME?</v>
      </c>
      <c r="AL10" t="e">
        <f t="shared" ca="1" si="0"/>
        <v>#NAME?</v>
      </c>
      <c r="AM10" s="41" t="e">
        <f t="shared" ca="1" si="1"/>
        <v>#NAME?</v>
      </c>
    </row>
    <row r="11" spans="1:39" x14ac:dyDescent="0.35">
      <c r="A11" s="2">
        <v>31</v>
      </c>
      <c r="B11" s="2">
        <v>14566</v>
      </c>
      <c r="C11" s="2" t="s">
        <v>34</v>
      </c>
      <c r="D11" s="6">
        <v>1</v>
      </c>
      <c r="F11" s="2">
        <v>1</v>
      </c>
      <c r="G11" s="6">
        <f t="shared" si="12"/>
        <v>1</v>
      </c>
      <c r="H11" s="2">
        <f t="shared" si="2"/>
        <v>31</v>
      </c>
      <c r="I11" s="2">
        <f t="shared" si="2"/>
        <v>14566</v>
      </c>
      <c r="K11" t="e">
        <f ca="1"/>
        <v>#NAME?</v>
      </c>
      <c r="L11" s="42" t="e">
        <f ca="1"/>
        <v>#NAME?</v>
      </c>
      <c r="M11" s="43" t="e">
        <f ca="1"/>
        <v>#NAME?</v>
      </c>
      <c r="N11" s="43" t="e">
        <f ca="1"/>
        <v>#NAME?</v>
      </c>
      <c r="O11" s="43" t="e">
        <f ca="1"/>
        <v>#NAME?</v>
      </c>
      <c r="P11" s="43" t="e">
        <f ca="1"/>
        <v>#NAME?</v>
      </c>
      <c r="Q11" s="44" t="e">
        <f ca="1"/>
        <v>#NAME?</v>
      </c>
      <c r="S11" t="s">
        <v>66</v>
      </c>
      <c r="T11" s="47" t="e">
        <f ca="1">SQRT(T10)</f>
        <v>#NAME?</v>
      </c>
      <c r="AA11" s="40">
        <f t="shared" si="3"/>
        <v>31</v>
      </c>
      <c r="AB11" t="e">
        <f t="shared" ca="1" si="4"/>
        <v>#NAME?</v>
      </c>
      <c r="AC11" t="e">
        <f t="shared" ca="1" si="5"/>
        <v>#NAME?</v>
      </c>
      <c r="AD11" t="e">
        <f t="shared" ca="1" si="6"/>
        <v>#NAME?</v>
      </c>
      <c r="AE11" t="e">
        <f t="shared" ca="1" si="7"/>
        <v>#NAME?</v>
      </c>
      <c r="AF11" t="e">
        <f t="shared" ca="1" si="8"/>
        <v>#NAME?</v>
      </c>
      <c r="AG11" t="e">
        <f t="shared" ca="1" si="9"/>
        <v>#NAME?</v>
      </c>
      <c r="AH11" s="41" t="e">
        <f ca="1"/>
        <v>#NAME?</v>
      </c>
      <c r="AI11" t="e">
        <f t="shared" ca="1" si="10"/>
        <v>#NAME?</v>
      </c>
      <c r="AJ11" s="40" t="e">
        <f t="shared" ca="1" si="11"/>
        <v>#NAME?</v>
      </c>
      <c r="AK11" t="e">
        <f t="array" aca="1" ref="AK11" ca="1">AJ11*SQRT(MMULT(MMULT(DEsign(G11),$W$4:$X$5),TRANSPOSE(DEsign(G11))))</f>
        <v>#NAME?</v>
      </c>
      <c r="AL11" t="e">
        <f t="shared" ca="1" si="0"/>
        <v>#NAME?</v>
      </c>
      <c r="AM11" s="41" t="e">
        <f t="shared" ca="1" si="1"/>
        <v>#NAME?</v>
      </c>
    </row>
    <row r="12" spans="1:39" x14ac:dyDescent="0.35">
      <c r="A12" s="2">
        <v>43</v>
      </c>
      <c r="B12" s="2">
        <v>15654</v>
      </c>
      <c r="C12" s="2" t="s">
        <v>34</v>
      </c>
      <c r="D12" s="6">
        <v>1.5</v>
      </c>
      <c r="F12" s="2">
        <v>1</v>
      </c>
      <c r="G12" s="6">
        <f t="shared" si="12"/>
        <v>1.5</v>
      </c>
      <c r="H12" s="2">
        <f t="shared" si="2"/>
        <v>43</v>
      </c>
      <c r="I12" s="2">
        <f t="shared" si="2"/>
        <v>15654</v>
      </c>
      <c r="W12" s="2" t="s">
        <v>67</v>
      </c>
      <c r="X12" s="2" t="s">
        <v>68</v>
      </c>
      <c r="Y12" s="2" t="s">
        <v>69</v>
      </c>
      <c r="AA12" s="40">
        <f t="shared" si="3"/>
        <v>43</v>
      </c>
      <c r="AB12" t="e">
        <f t="shared" ca="1" si="4"/>
        <v>#NAME?</v>
      </c>
      <c r="AC12" t="e">
        <f t="shared" ca="1" si="5"/>
        <v>#NAME?</v>
      </c>
      <c r="AD12" t="e">
        <f t="shared" ca="1" si="6"/>
        <v>#NAME?</v>
      </c>
      <c r="AE12" t="e">
        <f t="shared" ca="1" si="7"/>
        <v>#NAME?</v>
      </c>
      <c r="AF12" t="e">
        <f t="shared" ca="1" si="8"/>
        <v>#NAME?</v>
      </c>
      <c r="AG12" t="e">
        <f t="shared" ca="1" si="9"/>
        <v>#NAME?</v>
      </c>
      <c r="AH12" s="41" t="e">
        <f ca="1"/>
        <v>#NAME?</v>
      </c>
      <c r="AI12" t="e">
        <f t="shared" ca="1" si="10"/>
        <v>#NAME?</v>
      </c>
      <c r="AJ12" s="40" t="e">
        <f t="shared" ca="1" si="11"/>
        <v>#NAME?</v>
      </c>
      <c r="AK12" t="e">
        <f t="array" aca="1" ref="AK12" ca="1">AJ12*SQRT(MMULT(MMULT(DEsign(G12),$W$4:$X$5),TRANSPOSE(DEsign(G12))))</f>
        <v>#NAME?</v>
      </c>
      <c r="AL12" t="e">
        <f t="shared" ca="1" si="0"/>
        <v>#NAME?</v>
      </c>
      <c r="AM12" s="41" t="e">
        <f t="shared" ca="1" si="1"/>
        <v>#NAME?</v>
      </c>
    </row>
    <row r="13" spans="1:39" x14ac:dyDescent="0.35">
      <c r="A13" s="2">
        <v>56</v>
      </c>
      <c r="B13" s="2">
        <v>10097</v>
      </c>
      <c r="C13" s="2" t="s">
        <v>34</v>
      </c>
      <c r="D13" s="6">
        <v>2</v>
      </c>
      <c r="F13" s="2">
        <v>1</v>
      </c>
      <c r="G13" s="6">
        <f t="shared" si="12"/>
        <v>2</v>
      </c>
      <c r="H13" s="2">
        <f t="shared" si="2"/>
        <v>56</v>
      </c>
      <c r="I13" s="2">
        <f t="shared" si="2"/>
        <v>10097</v>
      </c>
      <c r="S13" t="s">
        <v>37</v>
      </c>
      <c r="T13" s="45" t="e">
        <f ca="1">SUMPRODUCT(AA4:AA18,LN(I4:I18))+AB19*LN(AA19/SUM(I4:I18))-AA19-SUMPRODUCT(LN(FACT(AA4:AA18)))</f>
        <v>#NAME?</v>
      </c>
      <c r="V13" t="s">
        <v>70</v>
      </c>
      <c r="W13" s="51" t="e">
        <f ca="1">'PReg 2'!V14</f>
        <v>#NAME?</v>
      </c>
      <c r="X13" s="52" t="e">
        <f ca="1">T14</f>
        <v>#NAME?</v>
      </c>
      <c r="Y13" s="53" t="e">
        <f ca="1">-2*(X13-W13)</f>
        <v>#NAME?</v>
      </c>
      <c r="AA13" s="40">
        <f t="shared" si="3"/>
        <v>56</v>
      </c>
      <c r="AB13" t="e">
        <f t="shared" ca="1" si="4"/>
        <v>#NAME?</v>
      </c>
      <c r="AC13" t="e">
        <f t="shared" ca="1" si="5"/>
        <v>#NAME?</v>
      </c>
      <c r="AD13" t="e">
        <f t="shared" ca="1" si="6"/>
        <v>#NAME?</v>
      </c>
      <c r="AE13" t="e">
        <f t="shared" ca="1" si="7"/>
        <v>#NAME?</v>
      </c>
      <c r="AF13" t="e">
        <f t="shared" ca="1" si="8"/>
        <v>#NAME?</v>
      </c>
      <c r="AG13" t="e">
        <f t="shared" ca="1" si="9"/>
        <v>#NAME?</v>
      </c>
      <c r="AH13" s="41" t="e">
        <f ca="1"/>
        <v>#NAME?</v>
      </c>
      <c r="AI13" t="e">
        <f t="shared" ca="1" si="10"/>
        <v>#NAME?</v>
      </c>
      <c r="AJ13" s="40" t="e">
        <f t="shared" ca="1" si="11"/>
        <v>#NAME?</v>
      </c>
      <c r="AK13" t="e">
        <f t="array" aca="1" ref="AK13" ca="1">AJ13*SQRT(MMULT(MMULT(DEsign(G13),$W$4:$X$5),TRANSPOSE(DEsign(G13))))</f>
        <v>#NAME?</v>
      </c>
      <c r="AL13" t="e">
        <f t="shared" ca="1" si="0"/>
        <v>#NAME?</v>
      </c>
      <c r="AM13" s="41" t="e">
        <f t="shared" ca="1" si="1"/>
        <v>#NAME?</v>
      </c>
    </row>
    <row r="14" spans="1:39" x14ac:dyDescent="0.35">
      <c r="A14" s="2">
        <v>30</v>
      </c>
      <c r="B14" s="2">
        <v>50711</v>
      </c>
      <c r="C14" s="2" t="s">
        <v>38</v>
      </c>
      <c r="D14" s="6">
        <v>0</v>
      </c>
      <c r="F14" s="2">
        <v>1</v>
      </c>
      <c r="G14" s="6">
        <f t="shared" si="12"/>
        <v>0</v>
      </c>
      <c r="H14" s="2">
        <f t="shared" si="2"/>
        <v>30</v>
      </c>
      <c r="I14" s="2">
        <f t="shared" si="2"/>
        <v>50711</v>
      </c>
      <c r="S14" t="s">
        <v>39</v>
      </c>
      <c r="T14" s="46" t="e" cm="1">
        <f t="array" aca="1" ref="T14" ca="1">SUMPRODUCT(MMULT(DEsign(G4:G18),L4:L5)+LN(I4:I18),AA4:AA18)-SUMPRODUCT(EXP(MMULT(DEsign(G4:G18),L4:L5)),I4:I18)-SUMPRODUCT(LN(FACT(AA4:AA18)))</f>
        <v>#NAME?</v>
      </c>
      <c r="V14" t="s">
        <v>32</v>
      </c>
      <c r="W14" s="29">
        <f ca="1">'PReg 2'!V9</f>
        <v>11</v>
      </c>
      <c r="X14" s="54">
        <f ca="1">T9</f>
        <v>13</v>
      </c>
      <c r="Y14" s="30">
        <f ca="1">X14-W14</f>
        <v>2</v>
      </c>
      <c r="AA14" s="40">
        <f t="shared" si="3"/>
        <v>30</v>
      </c>
      <c r="AB14" t="e">
        <f t="shared" ca="1" si="4"/>
        <v>#NAME?</v>
      </c>
      <c r="AC14" t="e">
        <f t="shared" ca="1" si="5"/>
        <v>#NAME?</v>
      </c>
      <c r="AD14" t="e">
        <f t="shared" ca="1" si="6"/>
        <v>#NAME?</v>
      </c>
      <c r="AE14" t="e">
        <f t="shared" ca="1" si="7"/>
        <v>#NAME?</v>
      </c>
      <c r="AF14" t="e">
        <f t="shared" ca="1" si="8"/>
        <v>#NAME?</v>
      </c>
      <c r="AG14" t="e">
        <f t="shared" ca="1" si="9"/>
        <v>#NAME?</v>
      </c>
      <c r="AH14" s="41" t="e">
        <f ca="1"/>
        <v>#NAME?</v>
      </c>
      <c r="AI14" t="e">
        <f t="shared" ca="1" si="10"/>
        <v>#NAME?</v>
      </c>
      <c r="AJ14" s="40" t="e">
        <f t="shared" ca="1" si="11"/>
        <v>#NAME?</v>
      </c>
      <c r="AK14" t="e">
        <f t="array" aca="1" ref="AK14" ca="1">AJ14*SQRT(MMULT(MMULT(DEsign(G14),$W$4:$X$5),TRANSPOSE(DEsign(G14))))</f>
        <v>#NAME?</v>
      </c>
      <c r="AL14" t="e">
        <f t="shared" ca="1" si="0"/>
        <v>#NAME?</v>
      </c>
      <c r="AM14" s="41" t="e">
        <f t="shared" ca="1" si="1"/>
        <v>#NAME?</v>
      </c>
    </row>
    <row r="15" spans="1:39" x14ac:dyDescent="0.35">
      <c r="A15" s="2">
        <v>36</v>
      </c>
      <c r="B15" s="2">
        <v>35332</v>
      </c>
      <c r="C15" s="2" t="s">
        <v>38</v>
      </c>
      <c r="D15" s="6">
        <v>0.5</v>
      </c>
      <c r="F15" s="2">
        <v>1</v>
      </c>
      <c r="G15" s="6">
        <f t="shared" si="12"/>
        <v>0.5</v>
      </c>
      <c r="H15" s="2">
        <f t="shared" si="2"/>
        <v>36</v>
      </c>
      <c r="I15" s="2">
        <f t="shared" si="2"/>
        <v>35332</v>
      </c>
      <c r="S15" t="s">
        <v>40</v>
      </c>
      <c r="T15" s="46">
        <f>SUMPRODUCT(AA4:AA18,LN(AA4:AA18))-AA19-SUMPRODUCT(LN(FACT(AA4:AA18)))</f>
        <v>-42.990199537616718</v>
      </c>
      <c r="V15" t="s">
        <v>48</v>
      </c>
      <c r="Y15" t="e">
        <f ca="1">CHIDIST(Y13,Y14)</f>
        <v>#NAME?</v>
      </c>
      <c r="AA15" s="40">
        <f t="shared" si="3"/>
        <v>36</v>
      </c>
      <c r="AB15" t="e">
        <f t="shared" ca="1" si="4"/>
        <v>#NAME?</v>
      </c>
      <c r="AC15" t="e">
        <f t="shared" ca="1" si="5"/>
        <v>#NAME?</v>
      </c>
      <c r="AD15" t="e">
        <f t="shared" ca="1" si="6"/>
        <v>#NAME?</v>
      </c>
      <c r="AE15" t="e">
        <f t="shared" ca="1" si="7"/>
        <v>#NAME?</v>
      </c>
      <c r="AF15" t="e">
        <f t="shared" ca="1" si="8"/>
        <v>#NAME?</v>
      </c>
      <c r="AG15" t="e">
        <f t="shared" ca="1" si="9"/>
        <v>#NAME?</v>
      </c>
      <c r="AH15" s="41" t="e">
        <f ca="1"/>
        <v>#NAME?</v>
      </c>
      <c r="AI15" t="e">
        <f t="shared" ca="1" si="10"/>
        <v>#NAME?</v>
      </c>
      <c r="AJ15" s="40" t="e">
        <f t="shared" ca="1" si="11"/>
        <v>#NAME?</v>
      </c>
      <c r="AK15" t="e">
        <f t="array" aca="1" ref="AK15" ca="1">AJ15*SQRT(MMULT(MMULT(DEsign(G15),$W$4:$X$5),TRANSPOSE(DEsign(G15))))</f>
        <v>#NAME?</v>
      </c>
      <c r="AL15" t="e">
        <f t="shared" ca="1" si="0"/>
        <v>#NAME?</v>
      </c>
      <c r="AM15" s="41" t="e">
        <f t="shared" ca="1" si="1"/>
        <v>#NAME?</v>
      </c>
    </row>
    <row r="16" spans="1:39" x14ac:dyDescent="0.35">
      <c r="A16" s="2">
        <v>62</v>
      </c>
      <c r="B16" s="2">
        <v>41707</v>
      </c>
      <c r="C16" s="2" t="s">
        <v>38</v>
      </c>
      <c r="D16" s="6">
        <v>1</v>
      </c>
      <c r="F16" s="2">
        <v>1</v>
      </c>
      <c r="G16" s="6">
        <f t="shared" si="12"/>
        <v>1</v>
      </c>
      <c r="H16" s="2">
        <f t="shared" si="2"/>
        <v>62</v>
      </c>
      <c r="I16" s="2">
        <f t="shared" si="2"/>
        <v>41707</v>
      </c>
      <c r="S16" t="s">
        <v>41</v>
      </c>
      <c r="T16" s="46" t="e">
        <f ca="1">(T14-T13)/(T15-T13)</f>
        <v>#NAME?</v>
      </c>
      <c r="AA16" s="40">
        <f t="shared" si="3"/>
        <v>62</v>
      </c>
      <c r="AB16" t="e">
        <f t="shared" ca="1" si="4"/>
        <v>#NAME?</v>
      </c>
      <c r="AC16" t="e">
        <f t="shared" ca="1" si="5"/>
        <v>#NAME?</v>
      </c>
      <c r="AD16" t="e">
        <f t="shared" ca="1" si="6"/>
        <v>#NAME?</v>
      </c>
      <c r="AE16" t="e">
        <f t="shared" ca="1" si="7"/>
        <v>#NAME?</v>
      </c>
      <c r="AF16" t="e">
        <f t="shared" ca="1" si="8"/>
        <v>#NAME?</v>
      </c>
      <c r="AG16" t="e">
        <f t="shared" ca="1" si="9"/>
        <v>#NAME?</v>
      </c>
      <c r="AH16" s="41" t="e">
        <f ca="1"/>
        <v>#NAME?</v>
      </c>
      <c r="AI16" t="e">
        <f t="shared" ca="1" si="10"/>
        <v>#NAME?</v>
      </c>
      <c r="AJ16" s="40" t="e">
        <f t="shared" ca="1" si="11"/>
        <v>#NAME?</v>
      </c>
      <c r="AK16" t="e">
        <f t="array" aca="1" ref="AK16" ca="1">AJ16*SQRT(MMULT(MMULT(DEsign(G16),$W$4:$X$5),TRANSPOSE(DEsign(G16))))</f>
        <v>#NAME?</v>
      </c>
      <c r="AL16" t="e">
        <f t="shared" ca="1" si="0"/>
        <v>#NAME?</v>
      </c>
      <c r="AM16" s="41" t="e">
        <f t="shared" ca="1" si="1"/>
        <v>#NAME?</v>
      </c>
    </row>
    <row r="17" spans="1:39" x14ac:dyDescent="0.35">
      <c r="A17" s="2">
        <v>57</v>
      </c>
      <c r="B17" s="2">
        <v>26319</v>
      </c>
      <c r="C17" s="2" t="s">
        <v>38</v>
      </c>
      <c r="D17" s="6">
        <v>1.5</v>
      </c>
      <c r="F17" s="2">
        <v>1</v>
      </c>
      <c r="G17" s="6">
        <f t="shared" si="12"/>
        <v>1.5</v>
      </c>
      <c r="H17" s="2">
        <f t="shared" si="2"/>
        <v>57</v>
      </c>
      <c r="I17" s="2">
        <f t="shared" si="2"/>
        <v>26319</v>
      </c>
      <c r="S17" t="s">
        <v>56</v>
      </c>
      <c r="T17" s="46" t="e">
        <f ca="1">2*(T8-T14)</f>
        <v>#NAME?</v>
      </c>
      <c r="AA17" s="40">
        <f t="shared" si="3"/>
        <v>57</v>
      </c>
      <c r="AB17" t="e">
        <f t="shared" ca="1" si="4"/>
        <v>#NAME?</v>
      </c>
      <c r="AC17" t="e">
        <f t="shared" ca="1" si="5"/>
        <v>#NAME?</v>
      </c>
      <c r="AD17" t="e">
        <f t="shared" ca="1" si="6"/>
        <v>#NAME?</v>
      </c>
      <c r="AE17" t="e">
        <f t="shared" ca="1" si="7"/>
        <v>#NAME?</v>
      </c>
      <c r="AF17" t="e">
        <f t="shared" ca="1" si="8"/>
        <v>#NAME?</v>
      </c>
      <c r="AG17" t="e">
        <f t="shared" ca="1" si="9"/>
        <v>#NAME?</v>
      </c>
      <c r="AH17" s="41" t="e">
        <f ca="1"/>
        <v>#NAME?</v>
      </c>
      <c r="AI17" t="e">
        <f t="shared" ca="1" si="10"/>
        <v>#NAME?</v>
      </c>
      <c r="AJ17" s="40" t="e">
        <f t="shared" ca="1" si="11"/>
        <v>#NAME?</v>
      </c>
      <c r="AK17" t="e">
        <f t="array" aca="1" ref="AK17" ca="1">AJ17*SQRT(MMULT(MMULT(DEsign(G17),$W$4:$X$5),TRANSPOSE(DEsign(G17))))</f>
        <v>#NAME?</v>
      </c>
      <c r="AL17" t="e">
        <f t="shared" ca="1" si="0"/>
        <v>#NAME?</v>
      </c>
      <c r="AM17" s="41" t="e">
        <f t="shared" ca="1" si="1"/>
        <v>#NAME?</v>
      </c>
    </row>
    <row r="18" spans="1:39" x14ac:dyDescent="0.35">
      <c r="A18" s="49">
        <v>71</v>
      </c>
      <c r="B18" s="49">
        <v>22978</v>
      </c>
      <c r="C18" s="49" t="s">
        <v>38</v>
      </c>
      <c r="D18" s="50">
        <v>2</v>
      </c>
      <c r="F18" s="49">
        <v>1</v>
      </c>
      <c r="G18" s="50">
        <f t="shared" si="12"/>
        <v>2</v>
      </c>
      <c r="H18" s="49">
        <f t="shared" si="2"/>
        <v>71</v>
      </c>
      <c r="I18" s="49">
        <f t="shared" si="2"/>
        <v>22978</v>
      </c>
      <c r="S18" t="s">
        <v>74</v>
      </c>
      <c r="T18" s="47" t="e">
        <f ca="1">T8*LN(T7)-2*T14</f>
        <v>#NAME?</v>
      </c>
      <c r="AA18" s="42">
        <f t="shared" si="3"/>
        <v>71</v>
      </c>
      <c r="AB18" s="43" t="e">
        <f t="shared" ca="1" si="4"/>
        <v>#NAME?</v>
      </c>
      <c r="AC18" s="43" t="e">
        <f t="shared" ca="1" si="5"/>
        <v>#NAME?</v>
      </c>
      <c r="AD18" s="43" t="e">
        <f t="shared" ca="1" si="6"/>
        <v>#NAME?</v>
      </c>
      <c r="AE18" s="43" t="e">
        <f t="shared" ca="1" si="7"/>
        <v>#NAME?</v>
      </c>
      <c r="AF18" s="43" t="e">
        <f t="shared" ca="1" si="8"/>
        <v>#NAME?</v>
      </c>
      <c r="AG18" s="43" t="e">
        <f t="shared" ca="1" si="9"/>
        <v>#NAME?</v>
      </c>
      <c r="AH18" s="44" t="e">
        <f ca="1"/>
        <v>#NAME?</v>
      </c>
      <c r="AI18" t="e">
        <f t="shared" ca="1" si="10"/>
        <v>#NAME?</v>
      </c>
      <c r="AJ18" s="42" t="e">
        <f t="shared" ca="1" si="11"/>
        <v>#NAME?</v>
      </c>
      <c r="AK18" s="43" t="e">
        <f t="array" aca="1" ref="AK18" ca="1">AJ18*SQRT(MMULT(MMULT(DEsign(G18),$W$4:$X$5),TRANSPOSE(DEsign(G18))))</f>
        <v>#NAME?</v>
      </c>
      <c r="AL18" s="43" t="e">
        <f t="shared" ca="1" si="0"/>
        <v>#NAME?</v>
      </c>
      <c r="AM18" s="44" t="e">
        <f t="shared" ca="1" si="1"/>
        <v>#NAME?</v>
      </c>
    </row>
    <row r="19" spans="1:39" x14ac:dyDescent="0.35">
      <c r="A19" s="19"/>
      <c r="B19" s="19"/>
      <c r="C19" s="3"/>
      <c r="D19" s="19"/>
      <c r="F19" s="3"/>
      <c r="G19" s="3"/>
      <c r="H19" s="3"/>
      <c r="I19" s="3"/>
      <c r="AA19">
        <f>SUM(AA4:AA18)</f>
        <v>839</v>
      </c>
      <c r="AB19" t="e">
        <f ca="1">SUM(AB4:AB18)</f>
        <v>#NAME?</v>
      </c>
      <c r="AC19" t="e">
        <f ca="1">SUM(AC4:AC18)</f>
        <v>#NAME?</v>
      </c>
      <c r="AH19">
        <f ca="1">2*T8/T7</f>
        <v>0.26666666666666666</v>
      </c>
    </row>
    <row r="20" spans="1:39" x14ac:dyDescent="0.35">
      <c r="S20" t="s">
        <v>33</v>
      </c>
      <c r="T20" s="45">
        <v>0.05</v>
      </c>
    </row>
    <row r="21" spans="1:39" x14ac:dyDescent="0.35">
      <c r="S21" t="s">
        <v>35</v>
      </c>
      <c r="T21" s="47">
        <f>NORMSINV(1-T20/2)</f>
        <v>1.9599639845400536</v>
      </c>
    </row>
    <row r="28" spans="1:39" x14ac:dyDescent="0.35">
      <c r="B28" s="2" t="e">
        <f ca="1">B26+2*L5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PReg 1</vt:lpstr>
      <vt:lpstr>PReg 2</vt:lpstr>
      <vt:lpstr>PReg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2023-11-01T07:58:02Z</dcterms:created>
  <dcterms:modified xsi:type="dcterms:W3CDTF">2025-09-25T18:00:11Z</dcterms:modified>
</cp:coreProperties>
</file>