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2DD5AC77-E9D1-4AC7-B92F-344EB52D8155}" xr6:coauthVersionLast="47" xr6:coauthVersionMax="47" xr10:uidLastSave="{F293ACB5-295B-4502-8A83-FD8516AB529A}"/>
  <bookViews>
    <workbookView xWindow="-110" yWindow="-110" windowWidth="19420" windowHeight="10300" xr2:uid="{91175B22-6C7E-4DA4-B842-ED9E0D42F099}"/>
  </bookViews>
  <sheets>
    <sheet name="Title" sheetId="4" r:id="rId1"/>
    <sheet name="NB Tool Solver" sheetId="1" r:id="rId2"/>
  </sheets>
  <definedNames>
    <definedName name="solver_adj" localSheetId="1" hidden="1">'NB Tool Solver'!$J$13:$J$15</definedName>
    <definedName name="solver_eng" localSheetId="1" hidden="1">1</definedName>
    <definedName name="solver_lhs1" localSheetId="1" hidden="1">'NB Tool Solver'!$J$14</definedName>
    <definedName name="solver_neg" localSheetId="1" hidden="1">2</definedName>
    <definedName name="solver_num" localSheetId="1" hidden="1">1</definedName>
    <definedName name="solver_opt" localSheetId="1" hidden="1">'NB Tool Solver'!$R$13</definedName>
    <definedName name="solver_rel1" localSheetId="1" hidden="1">2</definedName>
    <definedName name="solver_rhs1" localSheetId="1" hidden="1">0</definedName>
    <definedName name="solver_typ" localSheetId="1" hidden="1">1</definedName>
    <definedName name="solver_val" localSheetId="1" hidden="1">0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5" i="1" l="1"/>
  <c r="R14" i="1"/>
  <c r="R13" i="1"/>
  <c r="AK4" i="1" a="1"/>
  <c r="AK6" i="1" s="1"/>
  <c r="U4" i="1" a="1"/>
  <c r="Y9" i="1" s="1"/>
  <c r="K4" i="1" a="1"/>
  <c r="O9" i="1" s="1"/>
  <c r="R21" i="1"/>
  <c r="AM15" i="1"/>
  <c r="AG15" i="1"/>
  <c r="AE15" i="1"/>
  <c r="AF15" i="1" s="1"/>
  <c r="AD15" i="1"/>
  <c r="AJ15" i="1" s="1"/>
  <c r="AC15" i="1"/>
  <c r="AM14" i="1"/>
  <c r="AJ14" i="1"/>
  <c r="AG14" i="1"/>
  <c r="AE14" i="1"/>
  <c r="AF14" i="1" s="1"/>
  <c r="AD14" i="1"/>
  <c r="AC14" i="1"/>
  <c r="AM13" i="1"/>
  <c r="AJ13" i="1"/>
  <c r="AF13" i="1"/>
  <c r="AD13" i="1"/>
  <c r="AC13" i="1"/>
  <c r="AE13" i="1" s="1"/>
  <c r="AG13" i="1" s="1"/>
  <c r="AM12" i="1"/>
  <c r="AJ12" i="1"/>
  <c r="AD12" i="1"/>
  <c r="AC12" i="1"/>
  <c r="AE12" i="1" s="1"/>
  <c r="AJ11" i="1"/>
  <c r="AD11" i="1"/>
  <c r="AM11" i="1" s="1"/>
  <c r="AC11" i="1"/>
  <c r="AE11" i="1" s="1"/>
  <c r="AM10" i="1"/>
  <c r="AJ10" i="1"/>
  <c r="AG10" i="1"/>
  <c r="AE10" i="1"/>
  <c r="AF10" i="1" s="1"/>
  <c r="AD10" i="1"/>
  <c r="AC10" i="1"/>
  <c r="AM9" i="1"/>
  <c r="AD9" i="1"/>
  <c r="AJ9" i="1" s="1"/>
  <c r="AC9" i="1"/>
  <c r="AE9" i="1" s="1"/>
  <c r="AJ8" i="1"/>
  <c r="AD8" i="1"/>
  <c r="AM8" i="1" s="1"/>
  <c r="AC8" i="1"/>
  <c r="AE8" i="1" s="1"/>
  <c r="AM7" i="1"/>
  <c r="AD7" i="1"/>
  <c r="AJ7" i="1" s="1"/>
  <c r="AC7" i="1"/>
  <c r="R7" i="1"/>
  <c r="AD6" i="1"/>
  <c r="AJ6" i="1" s="1"/>
  <c r="AC6" i="1"/>
  <c r="AM5" i="1"/>
  <c r="AE5" i="1"/>
  <c r="AG5" i="1" s="1"/>
  <c r="AD5" i="1"/>
  <c r="AJ5" i="1" s="1"/>
  <c r="AC5" i="1"/>
  <c r="I8" i="1"/>
  <c r="I5" i="1"/>
  <c r="I5" i="1" a="1"/>
  <c r="I6" i="1" s="1"/>
  <c r="AJ4" i="1"/>
  <c r="AD4" i="1"/>
  <c r="AD16" i="1" s="1"/>
  <c r="AC4" i="1"/>
  <c r="AE4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Z7" i="1" l="1"/>
  <c r="AK7" i="1"/>
  <c r="M5" i="1"/>
  <c r="O7" i="1"/>
  <c r="U4" i="1"/>
  <c r="U6" i="1"/>
  <c r="U8" i="1"/>
  <c r="N5" i="1"/>
  <c r="K8" i="1"/>
  <c r="V4" i="1"/>
  <c r="V6" i="1"/>
  <c r="V8" i="1"/>
  <c r="AK9" i="1"/>
  <c r="O5" i="1"/>
  <c r="L8" i="1"/>
  <c r="W4" i="1"/>
  <c r="W6" i="1"/>
  <c r="W8" i="1"/>
  <c r="AK10" i="1"/>
  <c r="K6" i="1"/>
  <c r="M8" i="1"/>
  <c r="X4" i="1"/>
  <c r="X6" i="1"/>
  <c r="X8" i="1"/>
  <c r="AK11" i="1"/>
  <c r="N8" i="1"/>
  <c r="Y8" i="1"/>
  <c r="K4" i="1"/>
  <c r="M6" i="1"/>
  <c r="O8" i="1"/>
  <c r="Z4" i="1"/>
  <c r="Z6" i="1"/>
  <c r="Z8" i="1"/>
  <c r="AK13" i="1"/>
  <c r="AH13" i="1" s="1"/>
  <c r="L4" i="1"/>
  <c r="N6" i="1"/>
  <c r="K9" i="1"/>
  <c r="U5" i="1"/>
  <c r="U7" i="1"/>
  <c r="U9" i="1"/>
  <c r="AK14" i="1"/>
  <c r="AK15" i="1"/>
  <c r="AH15" i="1" s="1"/>
  <c r="Y4" i="1"/>
  <c r="M4" i="1"/>
  <c r="L9" i="1"/>
  <c r="V7" i="1"/>
  <c r="M9" i="1"/>
  <c r="L5" i="1"/>
  <c r="N7" i="1"/>
  <c r="Z5" i="1"/>
  <c r="Z9" i="1"/>
  <c r="AK8" i="1"/>
  <c r="L6" i="1"/>
  <c r="Y6" i="1"/>
  <c r="AK12" i="1"/>
  <c r="O6" i="1"/>
  <c r="V5" i="1"/>
  <c r="V9" i="1"/>
  <c r="N4" i="1"/>
  <c r="K7" i="1"/>
  <c r="W5" i="1"/>
  <c r="W7" i="1"/>
  <c r="W9" i="1"/>
  <c r="AK4" i="1"/>
  <c r="O4" i="1"/>
  <c r="L7" i="1"/>
  <c r="N9" i="1"/>
  <c r="X5" i="1"/>
  <c r="X7" i="1"/>
  <c r="X9" i="1"/>
  <c r="AK5" i="1"/>
  <c r="AI5" i="1" s="1"/>
  <c r="K5" i="1"/>
  <c r="M7" i="1"/>
  <c r="Y5" i="1"/>
  <c r="Y7" i="1"/>
  <c r="R16" i="1"/>
  <c r="AI14" i="1"/>
  <c r="AI15" i="1"/>
  <c r="AH14" i="1"/>
  <c r="AG12" i="1"/>
  <c r="AF12" i="1"/>
  <c r="AG4" i="1"/>
  <c r="AE16" i="1"/>
  <c r="AF4" i="1"/>
  <c r="AG8" i="1"/>
  <c r="AI8" i="1" s="1"/>
  <c r="AF8" i="1"/>
  <c r="AH8" i="1" s="1"/>
  <c r="AG9" i="1"/>
  <c r="AF9" i="1"/>
  <c r="AG11" i="1"/>
  <c r="AF11" i="1"/>
  <c r="AM4" i="1"/>
  <c r="AF5" i="1"/>
  <c r="AE6" i="1"/>
  <c r="AC16" i="1"/>
  <c r="AE7" i="1"/>
  <c r="AM6" i="1"/>
  <c r="I7" i="1"/>
  <c r="R8" i="1" s="1"/>
  <c r="AH9" i="1" l="1"/>
  <c r="AI9" i="1"/>
  <c r="AN11" i="1" a="1"/>
  <c r="AN11" i="1" s="1"/>
  <c r="AN5" i="1" a="1"/>
  <c r="AN5" i="1" s="1"/>
  <c r="AN10" i="1" a="1"/>
  <c r="AN10" i="1" s="1"/>
  <c r="AN4" i="1" a="1"/>
  <c r="AN4" i="1" s="1"/>
  <c r="AN13" i="1" a="1"/>
  <c r="AN13" i="1" s="1"/>
  <c r="AN7" i="1" a="1"/>
  <c r="AN7" i="1" s="1"/>
  <c r="AA4" i="1" a="1"/>
  <c r="AN15" i="1" a="1"/>
  <c r="AN15" i="1" s="1"/>
  <c r="AN14" i="1" a="1"/>
  <c r="AN14" i="1" s="1"/>
  <c r="AN9" i="1" a="1"/>
  <c r="AN9" i="1" s="1"/>
  <c r="AN8" i="1" a="1"/>
  <c r="AN8" i="1" s="1"/>
  <c r="AN6" i="1" a="1"/>
  <c r="AN6" i="1" s="1"/>
  <c r="AN12" i="1" a="1"/>
  <c r="AN12" i="1" s="1"/>
  <c r="AI13" i="1"/>
  <c r="AH11" i="1"/>
  <c r="R18" i="1"/>
  <c r="R17" i="1"/>
  <c r="AK16" i="1"/>
  <c r="R9" i="1"/>
  <c r="AL12" i="1"/>
  <c r="AH4" i="1"/>
  <c r="AL4" i="1"/>
  <c r="AL11" i="1"/>
  <c r="AL10" i="1"/>
  <c r="AI10" i="1"/>
  <c r="AI11" i="1"/>
  <c r="AI4" i="1"/>
  <c r="R5" i="1"/>
  <c r="AL5" i="1"/>
  <c r="AH12" i="1"/>
  <c r="AL8" i="1"/>
  <c r="AG6" i="1"/>
  <c r="AI6" i="1" s="1"/>
  <c r="AF6" i="1"/>
  <c r="AH6" i="1" s="1"/>
  <c r="AI12" i="1"/>
  <c r="AL7" i="1"/>
  <c r="AH5" i="1"/>
  <c r="AF7" i="1"/>
  <c r="AH7" i="1" s="1"/>
  <c r="AG7" i="1"/>
  <c r="AI7" i="1" s="1"/>
  <c r="AL6" i="1"/>
  <c r="AL9" i="1"/>
  <c r="AH10" i="1"/>
  <c r="AA7" i="1" l="1"/>
  <c r="AA9" i="1"/>
  <c r="AA8" i="1"/>
  <c r="AA6" i="1"/>
  <c r="AA5" i="1"/>
  <c r="AA4" i="1"/>
  <c r="R11" i="1"/>
  <c r="S5" i="1"/>
  <c r="R4" i="1"/>
  <c r="AL15" i="1"/>
  <c r="AL14" i="1"/>
  <c r="AL13" i="1"/>
  <c r="R10" i="1" l="1"/>
  <c r="S4" i="1"/>
  <c r="AO13" i="1" l="1"/>
  <c r="AO7" i="1"/>
  <c r="AP14" i="1"/>
  <c r="AO12" i="1"/>
  <c r="AO11" i="1"/>
  <c r="AO14" i="1"/>
  <c r="AP12" i="1"/>
  <c r="AP11" i="1"/>
  <c r="AP8" i="1"/>
  <c r="AO10" i="1"/>
  <c r="AO8" i="1"/>
  <c r="AP13" i="1"/>
  <c r="AP7" i="1"/>
  <c r="AP9" i="1"/>
  <c r="AO9" i="1"/>
  <c r="AP10" i="1"/>
  <c r="AO5" i="1"/>
  <c r="AO4" i="1"/>
  <c r="AP15" i="1"/>
  <c r="AO6" i="1"/>
  <c r="AP4" i="1"/>
  <c r="AO15" i="1"/>
  <c r="AP6" i="1"/>
  <c r="AP5" i="1"/>
</calcChain>
</file>

<file path=xl/sharedStrings.xml><?xml version="1.0" encoding="utf-8"?>
<sst xmlns="http://schemas.openxmlformats.org/spreadsheetml/2006/main" count="61" uniqueCount="53">
  <si>
    <t>Survived</t>
  </si>
  <si>
    <t>Cases</t>
  </si>
  <si>
    <t>Age</t>
  </si>
  <si>
    <t>Sex</t>
  </si>
  <si>
    <t>Class2</t>
  </si>
  <si>
    <t>Class3</t>
  </si>
  <si>
    <t>Negative Binomial Regression</t>
  </si>
  <si>
    <t>Goodness of Fit</t>
  </si>
  <si>
    <t>Residuals</t>
  </si>
  <si>
    <t>Predictions</t>
  </si>
  <si>
    <t>coeff</t>
  </si>
  <si>
    <t>s.e.</t>
  </si>
  <si>
    <t>z-stat</t>
  </si>
  <si>
    <t>p-value</t>
  </si>
  <si>
    <t>lower</t>
  </si>
  <si>
    <t>upper</t>
  </si>
  <si>
    <t>chi-sq</t>
  </si>
  <si>
    <t>Covariance Matrix</t>
  </si>
  <si>
    <t>Converge</t>
  </si>
  <si>
    <t>y</t>
  </si>
  <si>
    <t>mu</t>
  </si>
  <si>
    <t>r</t>
  </si>
  <si>
    <t>p</t>
  </si>
  <si>
    <t>d</t>
  </si>
  <si>
    <t>sp</t>
  </si>
  <si>
    <t>sd</t>
  </si>
  <si>
    <t>w</t>
  </si>
  <si>
    <t>h</t>
  </si>
  <si>
    <t>pred</t>
  </si>
  <si>
    <t>intercept</t>
  </si>
  <si>
    <t>Pearson</t>
  </si>
  <si>
    <t>G-square</t>
  </si>
  <si>
    <t>n</t>
  </si>
  <si>
    <t>k</t>
  </si>
  <si>
    <t>alpha</t>
  </si>
  <si>
    <t>df</t>
  </si>
  <si>
    <t>pear/df</t>
  </si>
  <si>
    <t>converge</t>
  </si>
  <si>
    <t>yes</t>
  </si>
  <si>
    <t>dev/df</t>
  </si>
  <si>
    <t>LL min</t>
  </si>
  <si>
    <t>zero</t>
  </si>
  <si>
    <t>LL fit</t>
  </si>
  <si>
    <t>ln alpha</t>
  </si>
  <si>
    <t>LL max</t>
  </si>
  <si>
    <t>R-square</t>
  </si>
  <si>
    <t>AIC</t>
  </si>
  <si>
    <t>BIC</t>
  </si>
  <si>
    <t>crit</t>
  </si>
  <si>
    <t>Real Statistics Using Excel</t>
  </si>
  <si>
    <t>Updated</t>
  </si>
  <si>
    <t>Copyright © 2013 - 2025 Charles Zaiontz</t>
  </si>
  <si>
    <t>Negative Binomial Regression Analysis Tool (Solver)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</si>
</sst>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" xfId="0" applyBorder="1"/>
    <xf numFmtId="1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D29F-35CD-433C-942A-4FE7EF6FDE1B}">
  <sheetPr codeName="Sheet1"/>
  <dimension ref="A1:M10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13" x14ac:dyDescent="0.35">
      <c r="A1" t="s">
        <v>49</v>
      </c>
    </row>
    <row r="2" spans="1:13" x14ac:dyDescent="0.35">
      <c r="A2" t="s">
        <v>52</v>
      </c>
    </row>
    <row r="4" spans="1:13" x14ac:dyDescent="0.35">
      <c r="A4" t="s">
        <v>50</v>
      </c>
      <c r="B4" s="16">
        <v>45922</v>
      </c>
    </row>
    <row r="6" spans="1:13" x14ac:dyDescent="0.35">
      <c r="A6" s="17" t="s">
        <v>51</v>
      </c>
    </row>
    <row r="10" spans="1:13" ht="18.5" x14ac:dyDescent="0.45">
      <c r="M10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DEAF5-3913-4E4A-AAE2-2CEB29ED88BD}">
  <sheetPr codeName="Sheet3"/>
  <dimension ref="A1:AP21"/>
  <sheetViews>
    <sheetView workbookViewId="0"/>
  </sheetViews>
  <sheetFormatPr defaultRowHeight="14.5" x14ac:dyDescent="0.35"/>
  <cols>
    <col min="1" max="1" width="3.54296875" customWidth="1"/>
    <col min="16" max="16" width="5.08984375" customWidth="1"/>
    <col min="20" max="20" width="3.7265625" customWidth="1"/>
    <col min="28" max="28" width="2.453125" customWidth="1"/>
    <col min="38" max="38" width="2.81640625" customWidth="1"/>
  </cols>
  <sheetData>
    <row r="1" spans="1:42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I1" t="s">
        <v>6</v>
      </c>
      <c r="Q1" t="s">
        <v>7</v>
      </c>
      <c r="AC1" t="s">
        <v>8</v>
      </c>
      <c r="AM1" t="s">
        <v>9</v>
      </c>
    </row>
    <row r="2" spans="1:42" x14ac:dyDescent="0.35">
      <c r="A2">
        <v>1</v>
      </c>
      <c r="B2">
        <v>14</v>
      </c>
      <c r="C2">
        <v>31</v>
      </c>
      <c r="D2">
        <v>0</v>
      </c>
      <c r="E2">
        <v>0</v>
      </c>
      <c r="F2">
        <v>0</v>
      </c>
      <c r="G2">
        <v>1</v>
      </c>
    </row>
    <row r="3" spans="1:42" x14ac:dyDescent="0.35">
      <c r="A3">
        <f>A2+1</f>
        <v>2</v>
      </c>
      <c r="B3">
        <v>13</v>
      </c>
      <c r="C3">
        <v>13</v>
      </c>
      <c r="D3">
        <v>0</v>
      </c>
      <c r="E3">
        <v>0</v>
      </c>
      <c r="F3">
        <v>1</v>
      </c>
      <c r="G3">
        <v>0</v>
      </c>
      <c r="I3" s="2"/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R3" s="2" t="s">
        <v>16</v>
      </c>
      <c r="S3" s="2" t="s">
        <v>13</v>
      </c>
      <c r="U3" t="s">
        <v>17</v>
      </c>
      <c r="AA3" t="s">
        <v>18</v>
      </c>
      <c r="AC3" s="2" t="s">
        <v>19</v>
      </c>
      <c r="AD3" s="2" t="s">
        <v>20</v>
      </c>
      <c r="AE3" s="2" t="s">
        <v>21</v>
      </c>
      <c r="AF3" s="2" t="s">
        <v>22</v>
      </c>
      <c r="AG3" s="2" t="s">
        <v>23</v>
      </c>
      <c r="AH3" s="2" t="s">
        <v>24</v>
      </c>
      <c r="AI3" s="2" t="s">
        <v>25</v>
      </c>
      <c r="AJ3" s="2" t="s">
        <v>26</v>
      </c>
      <c r="AK3" s="2" t="s">
        <v>27</v>
      </c>
      <c r="AM3" s="2" t="s">
        <v>28</v>
      </c>
      <c r="AN3" s="2" t="s">
        <v>11</v>
      </c>
      <c r="AO3" s="2" t="s">
        <v>14</v>
      </c>
      <c r="AP3" s="2" t="s">
        <v>15</v>
      </c>
    </row>
    <row r="4" spans="1:42" x14ac:dyDescent="0.35">
      <c r="A4">
        <f t="shared" ref="A4:A13" si="0">A3+1</f>
        <v>3</v>
      </c>
      <c r="B4">
        <v>1</v>
      </c>
      <c r="C4">
        <v>1</v>
      </c>
      <c r="D4">
        <v>0</v>
      </c>
      <c r="E4">
        <v>0</v>
      </c>
      <c r="F4">
        <v>0</v>
      </c>
      <c r="G4">
        <v>0</v>
      </c>
      <c r="I4" t="s">
        <v>29</v>
      </c>
      <c r="J4" s="3">
        <v>0.61337543569786424</v>
      </c>
      <c r="K4" s="4" t="e">
        <f t="array" aca="1" ref="K4:O9" ca="1">NegBinomParam(D2:G13,B2:B13,J4:J9,C2:C13)</f>
        <v>#NAME?</v>
      </c>
      <c r="L4" s="4" t="e">
        <f ca="1"/>
        <v>#NAME?</v>
      </c>
      <c r="M4" s="4" t="e">
        <f ca="1"/>
        <v>#NAME?</v>
      </c>
      <c r="N4" s="4" t="e">
        <f ca="1"/>
        <v>#NAME?</v>
      </c>
      <c r="O4" s="5" t="e">
        <f ca="1"/>
        <v>#NAME?</v>
      </c>
      <c r="Q4" t="s">
        <v>30</v>
      </c>
      <c r="R4" s="3">
        <f>SUMSQ(AF4:AF15)</f>
        <v>11.071499734190475</v>
      </c>
      <c r="S4" s="5">
        <f>_xlfn.CHISQ.DIST.RT(R4,R9)</f>
        <v>0.13553050215090906</v>
      </c>
      <c r="U4" s="3" t="e">
        <f t="array" aca="1" ref="U4:Z9" ca="1">NegBinomCov(D2:G13,AC4:AC15,J4:J9,C2:C13)</f>
        <v>#NAME?</v>
      </c>
      <c r="V4" s="4" t="e">
        <f ca="1"/>
        <v>#NAME?</v>
      </c>
      <c r="W4" s="4" t="e">
        <f ca="1"/>
        <v>#NAME?</v>
      </c>
      <c r="X4" s="4" t="e">
        <f ca="1"/>
        <v>#NAME?</v>
      </c>
      <c r="Y4" s="4" t="e">
        <f ca="1"/>
        <v>#NAME?</v>
      </c>
      <c r="Z4" s="5" t="e">
        <f ca="1"/>
        <v>#NAME?</v>
      </c>
      <c r="AA4" s="11" t="e">
        <f t="array" aca="1" ref="AA4:AA9" ca="1">MMULT(U4:Z9,NegBinomGrad(D2:G13,AC4:AC15,J4:J9,C2:C13))</f>
        <v>#NAME?</v>
      </c>
      <c r="AC4" s="3">
        <f>B2</f>
        <v>14</v>
      </c>
      <c r="AD4" s="4">
        <f>C2*EXP(J$4+MMULT(D2:G2,J$5:J$8))</f>
        <v>23.110739296261549</v>
      </c>
      <c r="AE4" s="4">
        <f>AC4-AD4</f>
        <v>-9.1107392962615492</v>
      </c>
      <c r="AF4" s="4">
        <f>AE4/SQRT(AD4*(1+AD4*J$9))</f>
        <v>-1.027146112723839</v>
      </c>
      <c r="AG4" s="4">
        <f>SIGN(AE4)*SQRT(2*(IF(AC4=0,0,AC4*LN(AC4/AD4))-(AC4+1/J$9)*LN((1+J$9*AC4)/(1+J$9*AD4))))</f>
        <v>-1.1726918066075309</v>
      </c>
      <c r="AH4" s="4" t="e">
        <f ca="1">AF4/SQRT(1-AK4)</f>
        <v>#NAME?</v>
      </c>
      <c r="AI4" s="4" t="e">
        <f ca="1">AG4/SQRT(1-AK4)</f>
        <v>#NAME?</v>
      </c>
      <c r="AJ4" s="4">
        <f>AD4/(1+AD4*J$9)</f>
        <v>6.7886730293746114</v>
      </c>
      <c r="AK4" s="5" t="e">
        <f t="array" aca="1" ref="AK4:AK15" ca="1">DIAG(MMULT(MMULT(AJ4:AJ15*DEsign(D2:G13),MINVERSE(MMULT(TRANSPOSE(DEsign(D2:G13)),AJ4:AJ15*DEsign(D2:G13)))),TRANSPOSE(DEsign(D2:G13))))</f>
        <v>#NAME?</v>
      </c>
      <c r="AL4" t="e">
        <f ca="1">IF(AK4&lt;=$AK$16,"","*")</f>
        <v>#NAME?</v>
      </c>
      <c r="AM4" s="3">
        <f>AD4</f>
        <v>23.110739296261549</v>
      </c>
      <c r="AN4" s="4" t="e">
        <f t="array" aca="1" ref="AN4" ca="1">AM4*SQRT(MMULT(MMULT(DEsign(D2:G2),$U$4:$Y$8),TRANSPOSE(DEsign(D2:G2))))</f>
        <v>#NAME?</v>
      </c>
      <c r="AO4" s="4" t="e">
        <f ca="1">AM4-AN4*R$21</f>
        <v>#NAME?</v>
      </c>
      <c r="AP4" s="5" t="e">
        <f ca="1">AM4+AN4*R$21</f>
        <v>#NAME?</v>
      </c>
    </row>
    <row r="5" spans="1:42" x14ac:dyDescent="0.35">
      <c r="A5">
        <f t="shared" si="0"/>
        <v>4</v>
      </c>
      <c r="B5">
        <v>13</v>
      </c>
      <c r="C5">
        <v>48</v>
      </c>
      <c r="D5">
        <v>0</v>
      </c>
      <c r="E5">
        <v>1</v>
      </c>
      <c r="F5">
        <v>0</v>
      </c>
      <c r="G5">
        <v>1</v>
      </c>
      <c r="I5" t="str">
        <f t="array" ref="I5:I8">TRANSPOSE(D1:G1)</f>
        <v>Age</v>
      </c>
      <c r="J5" s="9">
        <v>-0.67003495249117861</v>
      </c>
      <c r="K5" t="e">
        <f ca="1"/>
        <v>#NAME?</v>
      </c>
      <c r="L5" t="e">
        <f ca="1"/>
        <v>#NAME?</v>
      </c>
      <c r="M5" t="e">
        <f ca="1"/>
        <v>#NAME?</v>
      </c>
      <c r="N5" t="e">
        <f ca="1"/>
        <v>#NAME?</v>
      </c>
      <c r="O5" s="6" t="e">
        <f ca="1"/>
        <v>#NAME?</v>
      </c>
      <c r="Q5" t="s">
        <v>31</v>
      </c>
      <c r="R5" s="10">
        <f>SUMSQ(AG4:AG15)</f>
        <v>12.479503937967412</v>
      </c>
      <c r="S5" s="8">
        <f>_xlfn.CHISQ.DIST.RT(R5,R9)</f>
        <v>8.5852396786254878E-2</v>
      </c>
      <c r="U5" s="9" t="e">
        <f ca="1"/>
        <v>#NAME?</v>
      </c>
      <c r="V5" t="e">
        <f ca="1"/>
        <v>#NAME?</v>
      </c>
      <c r="W5" t="e">
        <f ca="1"/>
        <v>#NAME?</v>
      </c>
      <c r="X5" t="e">
        <f ca="1"/>
        <v>#NAME?</v>
      </c>
      <c r="Y5" t="e">
        <f ca="1"/>
        <v>#NAME?</v>
      </c>
      <c r="Z5" s="6" t="e">
        <f ca="1"/>
        <v>#NAME?</v>
      </c>
      <c r="AA5" s="12" t="e">
        <f ca="1"/>
        <v>#NAME?</v>
      </c>
      <c r="AC5" s="9">
        <f t="shared" ref="AC5:AC15" si="1">B3</f>
        <v>13</v>
      </c>
      <c r="AD5">
        <f t="shared" ref="AD5:AD15" si="2">C3*EXP(J$4+MMULT(D3:G3,J$5:J$8))</f>
        <v>16.505788776699266</v>
      </c>
      <c r="AE5">
        <f t="shared" ref="AE5:AE15" si="3">AC5-AD5</f>
        <v>-3.5057887766992657</v>
      </c>
      <c r="AF5">
        <f t="shared" ref="AF5:AF15" si="4">AE5/SQRT(AD5*(1+AD5*J$9))</f>
        <v>-0.52349120516643721</v>
      </c>
      <c r="AG5">
        <f t="shared" ref="AG5:AG15" si="5">SIGN(AE5)*SQRT(2*(IF(AC5=0,0,AC5*LN(AC5/AD5))-(AC5+1/J$9)*LN((1+J$9*AC5)/(1+J$9*AD5))))</f>
        <v>-0.55731480419571078</v>
      </c>
      <c r="AH5" t="e">
        <f t="shared" ref="AH5:AH15" ca="1" si="6">AF5/SQRT(1-AK5)</f>
        <v>#NAME?</v>
      </c>
      <c r="AI5" t="e">
        <f t="shared" ref="AI5:AI15" ca="1" si="7">AG5/SQRT(1-AK5)</f>
        <v>#NAME?</v>
      </c>
      <c r="AJ5">
        <f t="shared" ref="AJ5:AJ15" si="8">AD5/(1+AD5*J$9)</f>
        <v>6.0746303157969104</v>
      </c>
      <c r="AK5" s="6" t="e">
        <f ca="1"/>
        <v>#NAME?</v>
      </c>
      <c r="AL5" t="e">
        <f t="shared" ref="AL5:AL15" ca="1" si="9">IF(AK5&lt;=$AK$16,"","*")</f>
        <v>#NAME?</v>
      </c>
      <c r="AM5" s="9">
        <f t="shared" ref="AM5:AM15" si="10">AD5</f>
        <v>16.505788776699266</v>
      </c>
      <c r="AN5" t="e">
        <f t="array" aca="1" ref="AN5" ca="1">AM5*SQRT(MMULT(MMULT(DEsign(D3:G3),$U$4:$Y$8),TRANSPOSE(DEsign(D3:G3))))</f>
        <v>#NAME?</v>
      </c>
      <c r="AO5" t="e">
        <f t="shared" ref="AO5:AO15" ca="1" si="11">AM5-AN5*R$21</f>
        <v>#NAME?</v>
      </c>
      <c r="AP5" s="6" t="e">
        <f t="shared" ref="AP5:AP15" ca="1" si="12">AM5+AN5*R$21</f>
        <v>#NAME?</v>
      </c>
    </row>
    <row r="6" spans="1:42" x14ac:dyDescent="0.35">
      <c r="A6">
        <f t="shared" si="0"/>
        <v>5</v>
      </c>
      <c r="B6">
        <v>11</v>
      </c>
      <c r="C6">
        <v>11</v>
      </c>
      <c r="D6">
        <v>0</v>
      </c>
      <c r="E6">
        <v>1</v>
      </c>
      <c r="F6">
        <v>1</v>
      </c>
      <c r="G6">
        <v>0</v>
      </c>
      <c r="I6" t="str">
        <v>Sex</v>
      </c>
      <c r="J6" s="9">
        <v>-0.98015017482023714</v>
      </c>
      <c r="K6" t="e">
        <f ca="1"/>
        <v>#NAME?</v>
      </c>
      <c r="L6" t="e">
        <f ca="1"/>
        <v>#NAME?</v>
      </c>
      <c r="M6" t="e">
        <f ca="1"/>
        <v>#NAME?</v>
      </c>
      <c r="N6" t="e">
        <f ca="1"/>
        <v>#NAME?</v>
      </c>
      <c r="O6" s="6" t="e">
        <f ca="1"/>
        <v>#NAME?</v>
      </c>
      <c r="U6" s="9" t="e">
        <f ca="1"/>
        <v>#NAME?</v>
      </c>
      <c r="V6" t="e">
        <f ca="1"/>
        <v>#NAME?</v>
      </c>
      <c r="W6" t="e">
        <f ca="1"/>
        <v>#NAME?</v>
      </c>
      <c r="X6" t="e">
        <f ca="1"/>
        <v>#NAME?</v>
      </c>
      <c r="Y6" t="e">
        <f ca="1"/>
        <v>#NAME?</v>
      </c>
      <c r="Z6" s="6" t="e">
        <f ca="1"/>
        <v>#NAME?</v>
      </c>
      <c r="AA6" s="12" t="e">
        <f ca="1"/>
        <v>#NAME?</v>
      </c>
      <c r="AC6" s="9">
        <f t="shared" si="1"/>
        <v>1</v>
      </c>
      <c r="AD6">
        <f t="shared" si="2"/>
        <v>1.8466541529695888</v>
      </c>
      <c r="AE6">
        <f t="shared" si="3"/>
        <v>-0.84665415296958879</v>
      </c>
      <c r="AF6">
        <f t="shared" si="4"/>
        <v>-0.57062937799154867</v>
      </c>
      <c r="AG6">
        <f t="shared" si="5"/>
        <v>-0.63435084838589229</v>
      </c>
      <c r="AH6" t="e">
        <f t="shared" ca="1" si="6"/>
        <v>#NAME?</v>
      </c>
      <c r="AI6" t="e">
        <f t="shared" ca="1" si="7"/>
        <v>#NAME?</v>
      </c>
      <c r="AJ6">
        <f t="shared" si="8"/>
        <v>1.5490566550808553</v>
      </c>
      <c r="AK6" s="6" t="e">
        <f ca="1"/>
        <v>#NAME?</v>
      </c>
      <c r="AL6" t="e">
        <f t="shared" ca="1" si="9"/>
        <v>#NAME?</v>
      </c>
      <c r="AM6" s="9">
        <f t="shared" si="10"/>
        <v>1.8466541529695888</v>
      </c>
      <c r="AN6" t="e">
        <f t="array" aca="1" ref="AN6" ca="1">AM6*SQRT(MMULT(MMULT(DEsign(D4:G4),$U$4:$Y$8),TRANSPOSE(DEsign(D4:G4))))</f>
        <v>#NAME?</v>
      </c>
      <c r="AO6" t="e">
        <f t="shared" ca="1" si="11"/>
        <v>#NAME?</v>
      </c>
      <c r="AP6" s="6" t="e">
        <f t="shared" ca="1" si="12"/>
        <v>#NAME?</v>
      </c>
    </row>
    <row r="7" spans="1:42" x14ac:dyDescent="0.35">
      <c r="A7">
        <f t="shared" si="0"/>
        <v>6</v>
      </c>
      <c r="B7">
        <v>5</v>
      </c>
      <c r="C7">
        <v>5</v>
      </c>
      <c r="D7">
        <v>0</v>
      </c>
      <c r="E7">
        <v>1</v>
      </c>
      <c r="F7">
        <v>0</v>
      </c>
      <c r="G7">
        <v>0</v>
      </c>
      <c r="I7" t="str">
        <v>Class2</v>
      </c>
      <c r="J7" s="9">
        <v>-0.37461363882958648</v>
      </c>
      <c r="K7" t="e">
        <f ca="1"/>
        <v>#NAME?</v>
      </c>
      <c r="L7" t="e">
        <f ca="1"/>
        <v>#NAME?</v>
      </c>
      <c r="M7" t="e">
        <f ca="1"/>
        <v>#NAME?</v>
      </c>
      <c r="N7" t="e">
        <f ca="1"/>
        <v>#NAME?</v>
      </c>
      <c r="O7" s="6" t="e">
        <f ca="1"/>
        <v>#NAME?</v>
      </c>
      <c r="Q7" t="s">
        <v>32</v>
      </c>
      <c r="R7" s="11">
        <f>COUNT(B2:B13)</f>
        <v>12</v>
      </c>
      <c r="U7" s="9" t="e">
        <f ca="1"/>
        <v>#NAME?</v>
      </c>
      <c r="V7" t="e">
        <f ca="1"/>
        <v>#NAME?</v>
      </c>
      <c r="W7" t="e">
        <f ca="1"/>
        <v>#NAME?</v>
      </c>
      <c r="X7" t="e">
        <f ca="1"/>
        <v>#NAME?</v>
      </c>
      <c r="Y7" t="e">
        <f ca="1"/>
        <v>#NAME?</v>
      </c>
      <c r="Z7" s="6" t="e">
        <f ca="1"/>
        <v>#NAME?</v>
      </c>
      <c r="AA7" s="12" t="e">
        <f ca="1"/>
        <v>#NAME?</v>
      </c>
      <c r="AC7" s="9">
        <f t="shared" si="1"/>
        <v>13</v>
      </c>
      <c r="AD7">
        <f t="shared" si="2"/>
        <v>13.42825468562293</v>
      </c>
      <c r="AE7">
        <f t="shared" si="3"/>
        <v>-0.4282546856229299</v>
      </c>
      <c r="AF7">
        <f t="shared" si="4"/>
        <v>-7.5484615432633947E-2</v>
      </c>
      <c r="AG7">
        <f t="shared" si="5"/>
        <v>-7.6129492493650794E-2</v>
      </c>
      <c r="AH7" t="e">
        <f t="shared" ca="1" si="6"/>
        <v>#NAME?</v>
      </c>
      <c r="AI7" t="e">
        <f t="shared" ca="1" si="7"/>
        <v>#NAME?</v>
      </c>
      <c r="AJ7">
        <f t="shared" si="8"/>
        <v>5.6021119872640961</v>
      </c>
      <c r="AK7" s="6" t="e">
        <f ca="1"/>
        <v>#NAME?</v>
      </c>
      <c r="AL7" t="e">
        <f t="shared" ca="1" si="9"/>
        <v>#NAME?</v>
      </c>
      <c r="AM7" s="9">
        <f t="shared" si="10"/>
        <v>13.42825468562293</v>
      </c>
      <c r="AN7" t="e">
        <f t="array" aca="1" ref="AN7" ca="1">AM7*SQRT(MMULT(MMULT(DEsign(D5:G5),$U$4:$Y$8),TRANSPOSE(DEsign(D5:G5))))</f>
        <v>#NAME?</v>
      </c>
      <c r="AO7" t="e">
        <f t="shared" ca="1" si="11"/>
        <v>#NAME?</v>
      </c>
      <c r="AP7" s="6" t="e">
        <f t="shared" ca="1" si="12"/>
        <v>#NAME?</v>
      </c>
    </row>
    <row r="8" spans="1:42" x14ac:dyDescent="0.35">
      <c r="A8">
        <f t="shared" si="0"/>
        <v>7</v>
      </c>
      <c r="B8">
        <v>76</v>
      </c>
      <c r="C8">
        <v>165</v>
      </c>
      <c r="D8">
        <v>1</v>
      </c>
      <c r="E8">
        <v>0</v>
      </c>
      <c r="F8">
        <v>0</v>
      </c>
      <c r="G8">
        <v>1</v>
      </c>
      <c r="I8" t="str">
        <v>Class3</v>
      </c>
      <c r="J8" s="9">
        <v>-0.90706522608985651</v>
      </c>
      <c r="K8" t="e">
        <f ca="1"/>
        <v>#NAME?</v>
      </c>
      <c r="L8" t="e">
        <f ca="1"/>
        <v>#NAME?</v>
      </c>
      <c r="M8" t="e">
        <f ca="1"/>
        <v>#NAME?</v>
      </c>
      <c r="N8" t="e">
        <f ca="1"/>
        <v>#NAME?</v>
      </c>
      <c r="O8" s="6" t="e">
        <f ca="1"/>
        <v>#NAME?</v>
      </c>
      <c r="Q8" t="s">
        <v>33</v>
      </c>
      <c r="R8" s="12">
        <f>COUNTA(I4:I9)-1</f>
        <v>5</v>
      </c>
      <c r="U8" s="9" t="e">
        <f ca="1"/>
        <v>#NAME?</v>
      </c>
      <c r="V8" t="e">
        <f ca="1"/>
        <v>#NAME?</v>
      </c>
      <c r="W8" t="e">
        <f ca="1"/>
        <v>#NAME?</v>
      </c>
      <c r="X8" t="e">
        <f ca="1"/>
        <v>#NAME?</v>
      </c>
      <c r="Y8" t="e">
        <f ca="1"/>
        <v>#NAME?</v>
      </c>
      <c r="Z8" s="6" t="e">
        <f ca="1"/>
        <v>#NAME?</v>
      </c>
      <c r="AA8" s="12" t="e">
        <f ca="1"/>
        <v>#NAME?</v>
      </c>
      <c r="AC8" s="9">
        <f t="shared" si="1"/>
        <v>11</v>
      </c>
      <c r="AD8">
        <f t="shared" si="2"/>
        <v>5.240971567790389</v>
      </c>
      <c r="AE8">
        <f t="shared" si="3"/>
        <v>5.759028432209611</v>
      </c>
      <c r="AF8">
        <f t="shared" si="4"/>
        <v>2.0236959453358092</v>
      </c>
      <c r="AG8">
        <f t="shared" si="5"/>
        <v>1.6740845042950487</v>
      </c>
      <c r="AH8" t="e">
        <f t="shared" ca="1" si="6"/>
        <v>#NAME?</v>
      </c>
      <c r="AI8" t="e">
        <f t="shared" ca="1" si="7"/>
        <v>#NAME?</v>
      </c>
      <c r="AJ8">
        <f t="shared" si="8"/>
        <v>3.3916863621530622</v>
      </c>
      <c r="AK8" s="6" t="e">
        <f ca="1"/>
        <v>#NAME?</v>
      </c>
      <c r="AL8" t="e">
        <f t="shared" ca="1" si="9"/>
        <v>#NAME?</v>
      </c>
      <c r="AM8" s="9">
        <f t="shared" si="10"/>
        <v>5.240971567790389</v>
      </c>
      <c r="AN8" t="e">
        <f t="array" aca="1" ref="AN8" ca="1">AM8*SQRT(MMULT(MMULT(DEsign(D6:G6),$U$4:$Y$8),TRANSPOSE(DEsign(D6:G6))))</f>
        <v>#NAME?</v>
      </c>
      <c r="AO8" t="e">
        <f t="shared" ca="1" si="11"/>
        <v>#NAME?</v>
      </c>
      <c r="AP8" s="6" t="e">
        <f t="shared" ca="1" si="12"/>
        <v>#NAME?</v>
      </c>
    </row>
    <row r="9" spans="1:42" x14ac:dyDescent="0.35">
      <c r="A9">
        <f t="shared" si="0"/>
        <v>8</v>
      </c>
      <c r="B9">
        <v>80</v>
      </c>
      <c r="C9">
        <v>93</v>
      </c>
      <c r="D9">
        <v>1</v>
      </c>
      <c r="E9">
        <v>0</v>
      </c>
      <c r="F9">
        <v>1</v>
      </c>
      <c r="G9">
        <v>0</v>
      </c>
      <c r="I9" t="s">
        <v>34</v>
      </c>
      <c r="J9" s="10">
        <v>0.10403426578383403</v>
      </c>
      <c r="K9" s="7" t="e">
        <f ca="1"/>
        <v>#NAME?</v>
      </c>
      <c r="L9" s="7" t="e">
        <f ca="1"/>
        <v>#NAME?</v>
      </c>
      <c r="M9" s="7" t="e">
        <f ca="1"/>
        <v>#NAME?</v>
      </c>
      <c r="N9" s="7" t="e">
        <f ca="1"/>
        <v>#NAME?</v>
      </c>
      <c r="O9" s="8" t="e">
        <f ca="1"/>
        <v>#NAME?</v>
      </c>
      <c r="Q9" t="s">
        <v>35</v>
      </c>
      <c r="R9" s="12">
        <f>R7-R8</f>
        <v>7</v>
      </c>
      <c r="U9" s="10" t="e">
        <f ca="1"/>
        <v>#NAME?</v>
      </c>
      <c r="V9" s="7" t="e">
        <f ca="1"/>
        <v>#NAME?</v>
      </c>
      <c r="W9" s="7" t="e">
        <f ca="1"/>
        <v>#NAME?</v>
      </c>
      <c r="X9" s="7" t="e">
        <f ca="1"/>
        <v>#NAME?</v>
      </c>
      <c r="Y9" s="7" t="e">
        <f ca="1"/>
        <v>#NAME?</v>
      </c>
      <c r="Z9" s="8" t="e">
        <f ca="1"/>
        <v>#NAME?</v>
      </c>
      <c r="AA9" s="13" t="e">
        <f ca="1"/>
        <v>#NAME?</v>
      </c>
      <c r="AC9" s="9">
        <f t="shared" si="1"/>
        <v>5</v>
      </c>
      <c r="AD9">
        <f t="shared" si="2"/>
        <v>3.4648286276590836</v>
      </c>
      <c r="AE9">
        <f t="shared" si="3"/>
        <v>1.5351713723409164</v>
      </c>
      <c r="AF9">
        <f t="shared" si="4"/>
        <v>0.70708716001736505</v>
      </c>
      <c r="AG9">
        <f t="shared" si="5"/>
        <v>0.65103731607576265</v>
      </c>
      <c r="AH9" t="e">
        <f t="shared" ca="1" si="6"/>
        <v>#NAME?</v>
      </c>
      <c r="AI9" t="e">
        <f t="shared" ca="1" si="7"/>
        <v>#NAME?</v>
      </c>
      <c r="AJ9">
        <f t="shared" si="8"/>
        <v>2.5468049994571733</v>
      </c>
      <c r="AK9" s="6" t="e">
        <f ca="1"/>
        <v>#NAME?</v>
      </c>
      <c r="AL9" t="e">
        <f t="shared" ca="1" si="9"/>
        <v>#NAME?</v>
      </c>
      <c r="AM9" s="9">
        <f t="shared" si="10"/>
        <v>3.4648286276590836</v>
      </c>
      <c r="AN9" t="e">
        <f t="array" aca="1" ref="AN9" ca="1">AM9*SQRT(MMULT(MMULT(DEsign(D7:G7),$U$4:$Y$8),TRANSPOSE(DEsign(D7:G7))))</f>
        <v>#NAME?</v>
      </c>
      <c r="AO9" t="e">
        <f t="shared" ca="1" si="11"/>
        <v>#NAME?</v>
      </c>
      <c r="AP9" s="6" t="e">
        <f t="shared" ca="1" si="12"/>
        <v>#NAME?</v>
      </c>
    </row>
    <row r="10" spans="1:42" x14ac:dyDescent="0.35">
      <c r="A10">
        <f t="shared" si="0"/>
        <v>9</v>
      </c>
      <c r="B10">
        <v>140</v>
      </c>
      <c r="C10">
        <v>144</v>
      </c>
      <c r="D10">
        <v>1</v>
      </c>
      <c r="E10">
        <v>0</v>
      </c>
      <c r="F10">
        <v>0</v>
      </c>
      <c r="G10">
        <v>0</v>
      </c>
      <c r="Q10" t="s">
        <v>36</v>
      </c>
      <c r="R10" s="12">
        <f>R4/R9</f>
        <v>1.5816428191700678</v>
      </c>
      <c r="AC10" s="9">
        <f t="shared" si="1"/>
        <v>76</v>
      </c>
      <c r="AD10">
        <f t="shared" si="2"/>
        <v>62.942444598122549</v>
      </c>
      <c r="AE10">
        <f t="shared" si="3"/>
        <v>13.057555401877451</v>
      </c>
      <c r="AF10">
        <f t="shared" si="4"/>
        <v>0.59905846392036677</v>
      </c>
      <c r="AG10">
        <f t="shared" si="5"/>
        <v>0.56424098539307088</v>
      </c>
      <c r="AH10" t="e">
        <f t="shared" ca="1" si="6"/>
        <v>#NAME?</v>
      </c>
      <c r="AI10" t="e">
        <f t="shared" ca="1" si="7"/>
        <v>#NAME?</v>
      </c>
      <c r="AJ10">
        <f t="shared" si="8"/>
        <v>8.3387676976786729</v>
      </c>
      <c r="AK10" s="6" t="e">
        <f ca="1"/>
        <v>#NAME?</v>
      </c>
      <c r="AL10" t="e">
        <f t="shared" ca="1" si="9"/>
        <v>#NAME?</v>
      </c>
      <c r="AM10" s="9">
        <f t="shared" si="10"/>
        <v>62.942444598122549</v>
      </c>
      <c r="AN10" t="e">
        <f t="array" aca="1" ref="AN10" ca="1">AM10*SQRT(MMULT(MMULT(DEsign(D8:G8),$U$4:$Y$8),TRANSPOSE(DEsign(D8:G8))))</f>
        <v>#NAME?</v>
      </c>
      <c r="AO10" t="e">
        <f t="shared" ca="1" si="11"/>
        <v>#NAME?</v>
      </c>
      <c r="AP10" s="6" t="e">
        <f t="shared" ca="1" si="12"/>
        <v>#NAME?</v>
      </c>
    </row>
    <row r="11" spans="1:42" x14ac:dyDescent="0.35">
      <c r="A11">
        <f t="shared" si="0"/>
        <v>10</v>
      </c>
      <c r="B11">
        <v>75</v>
      </c>
      <c r="C11">
        <v>462</v>
      </c>
      <c r="D11">
        <v>1</v>
      </c>
      <c r="E11">
        <v>1</v>
      </c>
      <c r="F11">
        <v>0</v>
      </c>
      <c r="G11">
        <v>1</v>
      </c>
      <c r="I11" t="s">
        <v>37</v>
      </c>
      <c r="J11" s="14" t="s">
        <v>38</v>
      </c>
      <c r="Q11" t="s">
        <v>39</v>
      </c>
      <c r="R11" s="13">
        <f>R5/R9</f>
        <v>1.7827862768524874</v>
      </c>
      <c r="AC11" s="9">
        <f t="shared" si="1"/>
        <v>80</v>
      </c>
      <c r="AD11">
        <f t="shared" si="2"/>
        <v>60.420372283316844</v>
      </c>
      <c r="AE11">
        <f t="shared" si="3"/>
        <v>19.579627716683156</v>
      </c>
      <c r="AF11">
        <f t="shared" si="4"/>
        <v>0.93319936501059875</v>
      </c>
      <c r="AG11">
        <f t="shared" si="5"/>
        <v>0.85303850775239742</v>
      </c>
      <c r="AH11" t="e">
        <f t="shared" ca="1" si="6"/>
        <v>#NAME?</v>
      </c>
      <c r="AI11" t="e">
        <f t="shared" ca="1" si="7"/>
        <v>#NAME?</v>
      </c>
      <c r="AJ11">
        <f t="shared" si="8"/>
        <v>8.2929071528279099</v>
      </c>
      <c r="AK11" s="6" t="e">
        <f ca="1"/>
        <v>#NAME?</v>
      </c>
      <c r="AL11" t="e">
        <f t="shared" ca="1" si="9"/>
        <v>#NAME?</v>
      </c>
      <c r="AM11" s="9">
        <f t="shared" si="10"/>
        <v>60.420372283316844</v>
      </c>
      <c r="AN11" t="e">
        <f t="array" aca="1" ref="AN11" ca="1">AM11*SQRT(MMULT(MMULT(DEsign(D9:G9),$U$4:$Y$8),TRANSPOSE(DEsign(D9:G9))))</f>
        <v>#NAME?</v>
      </c>
      <c r="AO11" t="e">
        <f t="shared" ca="1" si="11"/>
        <v>#NAME?</v>
      </c>
      <c r="AP11" s="6" t="e">
        <f t="shared" ca="1" si="12"/>
        <v>#NAME?</v>
      </c>
    </row>
    <row r="12" spans="1:42" x14ac:dyDescent="0.35">
      <c r="A12">
        <f t="shared" si="0"/>
        <v>11</v>
      </c>
      <c r="B12">
        <v>14</v>
      </c>
      <c r="C12">
        <v>168</v>
      </c>
      <c r="D12">
        <v>1</v>
      </c>
      <c r="E12">
        <v>1</v>
      </c>
      <c r="F12">
        <v>1</v>
      </c>
      <c r="G12">
        <v>0</v>
      </c>
      <c r="AC12" s="9">
        <f t="shared" si="1"/>
        <v>140</v>
      </c>
      <c r="AD12">
        <f t="shared" si="2"/>
        <v>136.06786692623911</v>
      </c>
      <c r="AE12">
        <f t="shared" si="3"/>
        <v>3.9321330737608946</v>
      </c>
      <c r="AF12">
        <f t="shared" si="4"/>
        <v>8.6588880185178546E-2</v>
      </c>
      <c r="AG12">
        <f t="shared" si="5"/>
        <v>8.5795210617749806E-2</v>
      </c>
      <c r="AH12" t="e">
        <f t="shared" ca="1" si="6"/>
        <v>#NAME?</v>
      </c>
      <c r="AI12" t="e">
        <f t="shared" ca="1" si="7"/>
        <v>#NAME?</v>
      </c>
      <c r="AJ12">
        <f t="shared" si="8"/>
        <v>8.9779872713515054</v>
      </c>
      <c r="AK12" s="6" t="e">
        <f ca="1"/>
        <v>#NAME?</v>
      </c>
      <c r="AL12" t="e">
        <f t="shared" ca="1" si="9"/>
        <v>#NAME?</v>
      </c>
      <c r="AM12" s="9">
        <f t="shared" si="10"/>
        <v>136.06786692623911</v>
      </c>
      <c r="AN12" t="e">
        <f t="array" aca="1" ref="AN12" ca="1">AM12*SQRT(MMULT(MMULT(DEsign(D10:G10),$U$4:$Y$8),TRANSPOSE(DEsign(D10:G10))))</f>
        <v>#NAME?</v>
      </c>
      <c r="AO12" t="e">
        <f t="shared" ca="1" si="11"/>
        <v>#NAME?</v>
      </c>
      <c r="AP12" s="6" t="e">
        <f t="shared" ca="1" si="12"/>
        <v>#NAME?</v>
      </c>
    </row>
    <row r="13" spans="1:42" x14ac:dyDescent="0.35">
      <c r="A13">
        <f t="shared" si="0"/>
        <v>12</v>
      </c>
      <c r="B13" s="15">
        <v>57</v>
      </c>
      <c r="C13" s="15">
        <v>175</v>
      </c>
      <c r="D13" s="15">
        <v>1</v>
      </c>
      <c r="E13" s="15">
        <v>1</v>
      </c>
      <c r="F13" s="15">
        <v>0</v>
      </c>
      <c r="G13" s="15">
        <v>0</v>
      </c>
      <c r="I13" t="s">
        <v>29</v>
      </c>
      <c r="J13" s="11">
        <v>-0.55591244336824963</v>
      </c>
      <c r="Q13" t="s">
        <v>40</v>
      </c>
      <c r="R13" s="11" t="e">
        <f ca="1">NegBinomLL(D2:D13,B2:B13,J13:J15,C2:C13,TRUE)</f>
        <v>#NAME?</v>
      </c>
      <c r="AC13" s="9">
        <f t="shared" si="1"/>
        <v>75</v>
      </c>
      <c r="AD13">
        <f t="shared" si="2"/>
        <v>66.134462053505544</v>
      </c>
      <c r="AE13">
        <f t="shared" si="3"/>
        <v>8.8655379464944559</v>
      </c>
      <c r="AF13">
        <f t="shared" si="4"/>
        <v>0.38834809308366053</v>
      </c>
      <c r="AG13">
        <f t="shared" si="5"/>
        <v>0.37319322305009262</v>
      </c>
      <c r="AH13" t="e">
        <f t="shared" ca="1" si="6"/>
        <v>#NAME?</v>
      </c>
      <c r="AI13" t="e">
        <f t="shared" ca="1" si="7"/>
        <v>#NAME?</v>
      </c>
      <c r="AJ13">
        <f t="shared" si="8"/>
        <v>8.3924317568579188</v>
      </c>
      <c r="AK13" s="6" t="e">
        <f ca="1"/>
        <v>#NAME?</v>
      </c>
      <c r="AL13" t="e">
        <f t="shared" ca="1" si="9"/>
        <v>#NAME?</v>
      </c>
      <c r="AM13" s="9">
        <f t="shared" si="10"/>
        <v>66.134462053505544</v>
      </c>
      <c r="AN13" t="e">
        <f t="array" aca="1" ref="AN13" ca="1">AM13*SQRT(MMULT(MMULT(DEsign(D11:G11),$U$4:$Y$8),TRANSPOSE(DEsign(D11:G11))))</f>
        <v>#NAME?</v>
      </c>
      <c r="AO13" t="e">
        <f t="shared" ca="1" si="11"/>
        <v>#NAME?</v>
      </c>
      <c r="AP13" s="6" t="e">
        <f t="shared" ca="1" si="12"/>
        <v>#NAME?</v>
      </c>
    </row>
    <row r="14" spans="1:42" x14ac:dyDescent="0.35">
      <c r="I14" t="s">
        <v>41</v>
      </c>
      <c r="J14" s="12">
        <v>0</v>
      </c>
      <c r="Q14" t="s">
        <v>42</v>
      </c>
      <c r="R14" s="12" t="e">
        <f ca="1">NegBinomLL(D2:G13,B2:B13,J4:J9,C2:C13)</f>
        <v>#NAME?</v>
      </c>
      <c r="AC14" s="9">
        <f t="shared" si="1"/>
        <v>14</v>
      </c>
      <c r="AD14">
        <f t="shared" si="2"/>
        <v>40.957733673354966</v>
      </c>
      <c r="AE14">
        <f t="shared" si="3"/>
        <v>-26.957733673354966</v>
      </c>
      <c r="AF14">
        <f t="shared" si="4"/>
        <v>-1.8364577815225489</v>
      </c>
      <c r="AG14">
        <f t="shared" si="5"/>
        <v>-2.4306952683674758</v>
      </c>
      <c r="AH14" t="e">
        <f t="shared" ca="1" si="6"/>
        <v>#NAME?</v>
      </c>
      <c r="AI14" t="e">
        <f t="shared" ca="1" si="7"/>
        <v>#NAME?</v>
      </c>
      <c r="AJ14">
        <f t="shared" si="8"/>
        <v>7.7851498444428371</v>
      </c>
      <c r="AK14" s="6" t="e">
        <f ca="1"/>
        <v>#NAME?</v>
      </c>
      <c r="AL14" t="e">
        <f t="shared" ca="1" si="9"/>
        <v>#NAME?</v>
      </c>
      <c r="AM14" s="9">
        <f t="shared" si="10"/>
        <v>40.957733673354966</v>
      </c>
      <c r="AN14" t="e">
        <f t="array" aca="1" ref="AN14" ca="1">AM14*SQRT(MMULT(MMULT(DEsign(D12:G12),$U$4:$Y$8),TRANSPOSE(DEsign(D12:G12))))</f>
        <v>#NAME?</v>
      </c>
      <c r="AO14" t="e">
        <f t="shared" ca="1" si="11"/>
        <v>#NAME?</v>
      </c>
      <c r="AP14" s="6" t="e">
        <f t="shared" ca="1" si="12"/>
        <v>#NAME?</v>
      </c>
    </row>
    <row r="15" spans="1:42" x14ac:dyDescent="0.35">
      <c r="I15" t="s">
        <v>43</v>
      </c>
      <c r="J15" s="13">
        <v>-0.82134755290589934</v>
      </c>
      <c r="Q15" t="s">
        <v>44</v>
      </c>
      <c r="R15" s="12" t="e">
        <f ca="1">NegBinomLL1(AC4:AC15,J9)</f>
        <v>#NAME?</v>
      </c>
      <c r="AC15" s="10">
        <f t="shared" si="1"/>
        <v>57</v>
      </c>
      <c r="AD15" s="7">
        <f t="shared" si="2"/>
        <v>62.052219609110651</v>
      </c>
      <c r="AE15" s="7">
        <f t="shared" si="3"/>
        <v>-5.0522196091106508</v>
      </c>
      <c r="AF15" s="7">
        <f t="shared" si="4"/>
        <v>-0.23488944901196795</v>
      </c>
      <c r="AG15" s="7">
        <f t="shared" si="5"/>
        <v>-0.2411157147985655</v>
      </c>
      <c r="AH15" s="7" t="e">
        <f t="shared" ca="1" si="6"/>
        <v>#NAME?</v>
      </c>
      <c r="AI15" s="7" t="e">
        <f t="shared" ca="1" si="7"/>
        <v>#NAME?</v>
      </c>
      <c r="AJ15" s="7">
        <f t="shared" si="8"/>
        <v>8.3229487369129771</v>
      </c>
      <c r="AK15" s="8" t="e">
        <f ca="1"/>
        <v>#NAME?</v>
      </c>
      <c r="AL15" t="e">
        <f t="shared" ca="1" si="9"/>
        <v>#NAME?</v>
      </c>
      <c r="AM15" s="10">
        <f t="shared" si="10"/>
        <v>62.052219609110651</v>
      </c>
      <c r="AN15" s="7" t="e">
        <f t="array" aca="1" ref="AN15" ca="1">AM15*SQRT(MMULT(MMULT(DEsign(D13:G13),$U$4:$Y$8),TRANSPOSE(DEsign(D13:G13))))</f>
        <v>#NAME?</v>
      </c>
      <c r="AO15" s="7" t="e">
        <f t="shared" ca="1" si="11"/>
        <v>#NAME?</v>
      </c>
      <c r="AP15" s="8" t="e">
        <f t="shared" ca="1" si="12"/>
        <v>#NAME?</v>
      </c>
    </row>
    <row r="16" spans="1:42" x14ac:dyDescent="0.35">
      <c r="Q16" t="s">
        <v>45</v>
      </c>
      <c r="R16" s="12" t="e">
        <f ca="1">(R14-R13)/(R15-R13)</f>
        <v>#NAME?</v>
      </c>
      <c r="AC16">
        <f>SUM(AC4:AC15)</f>
        <v>499</v>
      </c>
      <c r="AD16">
        <f t="shared" ref="AD16:AE16" si="13">SUM(AD4:AD15)</f>
        <v>492.17233625065245</v>
      </c>
      <c r="AE16">
        <f t="shared" si="13"/>
        <v>6.8276637493475363</v>
      </c>
      <c r="AK16">
        <f>2*R8/R7</f>
        <v>0.83333333333333337</v>
      </c>
    </row>
    <row r="17" spans="9:18" x14ac:dyDescent="0.35">
      <c r="I17" t="s">
        <v>37</v>
      </c>
      <c r="J17" s="14" t="s">
        <v>38</v>
      </c>
      <c r="Q17" t="s">
        <v>46</v>
      </c>
      <c r="R17" s="12" t="e">
        <f ca="1">2*(R8+1-R14)</f>
        <v>#NAME?</v>
      </c>
    </row>
    <row r="18" spans="9:18" x14ac:dyDescent="0.35">
      <c r="Q18" t="s">
        <v>47</v>
      </c>
      <c r="R18" s="13" t="e">
        <f ca="1">(R8+1)*LN(R7)-2*R14</f>
        <v>#NAME?</v>
      </c>
    </row>
    <row r="20" spans="9:18" x14ac:dyDescent="0.35">
      <c r="Q20" t="s">
        <v>34</v>
      </c>
      <c r="R20" s="11">
        <v>0.05</v>
      </c>
    </row>
    <row r="21" spans="9:18" x14ac:dyDescent="0.35">
      <c r="Q21" t="s">
        <v>48</v>
      </c>
      <c r="R21" s="13">
        <f>_xlfn.NORM.S.INV(1-R20/2)</f>
        <v>1.9599639845400536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NB Tool Solver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2025-09-22T09:33:41Z</dcterms:created>
  <dcterms:modified xsi:type="dcterms:W3CDTF">2025-09-23T14:25:06Z</dcterms:modified>
</cp:coreProperties>
</file>