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" documentId="8_{DFBECDA7-ECB0-4D01-BA8F-FC5A642579B0}" xr6:coauthVersionLast="47" xr6:coauthVersionMax="47" xr10:uidLastSave="{72778E42-BA08-457C-9B12-BBC9B5C39711}"/>
  <bookViews>
    <workbookView xWindow="-110" yWindow="-110" windowWidth="19420" windowHeight="10300" xr2:uid="{1E30D1D5-56AC-46D7-8D96-C36111924286}"/>
  </bookViews>
  <sheets>
    <sheet name="Title" sheetId="2" r:id="rId1"/>
    <sheet name="ZTP" sheetId="1" r:id="rId2"/>
  </sheets>
  <definedNames>
    <definedName name="solver_adj" localSheetId="1" hidden="1">ZTP!$G$4:$G$7</definedName>
    <definedName name="solver_eng" localSheetId="1" hidden="1">1</definedName>
    <definedName name="solver_neg" localSheetId="1" hidden="1">2</definedName>
    <definedName name="solver_num" localSheetId="1" hidden="1">0</definedName>
    <definedName name="solver_opt" localSheetId="1" hidden="1">ZTP!$O$14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O14" i="1" a="1"/>
  <c r="O14" i="1" s="1"/>
  <c r="O13" i="1"/>
  <c r="AE4" i="1" a="1"/>
  <c r="AE19" i="1" s="1"/>
  <c r="R4" i="1" a="1"/>
  <c r="R6" i="1" s="1"/>
  <c r="H4" i="1" a="1"/>
  <c r="J7" i="1" s="1"/>
  <c r="Y23" i="1"/>
  <c r="AG23" i="1" s="1"/>
  <c r="X23" i="1"/>
  <c r="Z23" i="1" s="1"/>
  <c r="Y22" i="1"/>
  <c r="AG22" i="1" s="1"/>
  <c r="X22" i="1"/>
  <c r="Z22" i="1" s="1"/>
  <c r="Y21" i="1"/>
  <c r="Z21" i="1" s="1"/>
  <c r="X21" i="1"/>
  <c r="O21" i="1"/>
  <c r="Y20" i="1"/>
  <c r="AG20" i="1" s="1"/>
  <c r="X20" i="1"/>
  <c r="AB19" i="1"/>
  <c r="Z19" i="1"/>
  <c r="AA19" i="1" s="1"/>
  <c r="Y19" i="1"/>
  <c r="AG19" i="1" s="1"/>
  <c r="X19" i="1"/>
  <c r="Y18" i="1"/>
  <c r="AG18" i="1" s="1"/>
  <c r="X18" i="1"/>
  <c r="Z18" i="1" s="1"/>
  <c r="AG17" i="1"/>
  <c r="Y17" i="1"/>
  <c r="Z17" i="1" s="1"/>
  <c r="X17" i="1"/>
  <c r="AG16" i="1"/>
  <c r="Y16" i="1"/>
  <c r="X16" i="1"/>
  <c r="Z16" i="1" s="1"/>
  <c r="Y15" i="1"/>
  <c r="AG15" i="1" s="1"/>
  <c r="X15" i="1"/>
  <c r="Z15" i="1" s="1"/>
  <c r="Y14" i="1"/>
  <c r="Z14" i="1" s="1"/>
  <c r="X14" i="1"/>
  <c r="AB13" i="1"/>
  <c r="Z13" i="1"/>
  <c r="AA13" i="1" s="1"/>
  <c r="Y13" i="1"/>
  <c r="AG13" i="1" s="1"/>
  <c r="X13" i="1"/>
  <c r="AG12" i="1"/>
  <c r="Y12" i="1"/>
  <c r="X12" i="1"/>
  <c r="Z12" i="1" s="1"/>
  <c r="AG11" i="1"/>
  <c r="Y11" i="1"/>
  <c r="Z11" i="1" s="1"/>
  <c r="X11" i="1"/>
  <c r="AG10" i="1"/>
  <c r="Y10" i="1"/>
  <c r="X10" i="1"/>
  <c r="Z10" i="1" s="1"/>
  <c r="Y9" i="1"/>
  <c r="AG9" i="1" s="1"/>
  <c r="X9" i="1"/>
  <c r="Z9" i="1" s="1"/>
  <c r="Y8" i="1"/>
  <c r="Z8" i="1" s="1"/>
  <c r="X8" i="1"/>
  <c r="Y7" i="1"/>
  <c r="AG7" i="1" s="1"/>
  <c r="X7" i="1"/>
  <c r="O7" i="1"/>
  <c r="Y6" i="1"/>
  <c r="AG6" i="1" s="1"/>
  <c r="X6" i="1"/>
  <c r="Z6" i="1" s="1"/>
  <c r="AG5" i="1"/>
  <c r="Y5" i="1"/>
  <c r="X5" i="1"/>
  <c r="Z5" i="1" s="1"/>
  <c r="F5" i="1" a="1"/>
  <c r="F5" i="1" s="1"/>
  <c r="AG4" i="1"/>
  <c r="Y4" i="1"/>
  <c r="Y24" i="1" s="1"/>
  <c r="X4" i="1"/>
  <c r="Z4" i="1" s="1"/>
  <c r="S6" i="1" l="1"/>
  <c r="T6" i="1"/>
  <c r="I4" i="1"/>
  <c r="J4" i="1"/>
  <c r="I5" i="1"/>
  <c r="AE8" i="1"/>
  <c r="J5" i="1"/>
  <c r="AE9" i="1"/>
  <c r="K5" i="1"/>
  <c r="AE20" i="1"/>
  <c r="L5" i="1"/>
  <c r="AE21" i="1"/>
  <c r="K7" i="1"/>
  <c r="O16" i="1"/>
  <c r="L6" i="1"/>
  <c r="L7" i="1"/>
  <c r="K6" i="1"/>
  <c r="R7" i="1"/>
  <c r="H6" i="1"/>
  <c r="S4" i="1"/>
  <c r="S7" i="1"/>
  <c r="AE12" i="1"/>
  <c r="I6" i="1"/>
  <c r="T4" i="1"/>
  <c r="T7" i="1"/>
  <c r="AE13" i="1"/>
  <c r="AC13" i="1" s="1"/>
  <c r="U6" i="1"/>
  <c r="AE10" i="1"/>
  <c r="AE22" i="1"/>
  <c r="R4" i="1"/>
  <c r="AE11" i="1"/>
  <c r="AE23" i="1"/>
  <c r="AC19" i="1"/>
  <c r="H4" i="1"/>
  <c r="J6" i="1"/>
  <c r="U4" i="1"/>
  <c r="U7" i="1"/>
  <c r="AE14" i="1"/>
  <c r="AD19" i="1"/>
  <c r="R5" i="1"/>
  <c r="K4" i="1"/>
  <c r="H7" i="1"/>
  <c r="T5" i="1"/>
  <c r="AE5" i="1"/>
  <c r="AE17" i="1"/>
  <c r="AE15" i="1"/>
  <c r="S5" i="1"/>
  <c r="AE4" i="1"/>
  <c r="AE16" i="1"/>
  <c r="L4" i="1"/>
  <c r="I7" i="1"/>
  <c r="U5" i="1"/>
  <c r="AE6" i="1"/>
  <c r="AE18" i="1"/>
  <c r="H5" i="1"/>
  <c r="AE7" i="1"/>
  <c r="AB15" i="1"/>
  <c r="AA15" i="1"/>
  <c r="AA16" i="1"/>
  <c r="AB16" i="1"/>
  <c r="AB5" i="1"/>
  <c r="AA5" i="1"/>
  <c r="AA10" i="1"/>
  <c r="AB10" i="1"/>
  <c r="AB8" i="1"/>
  <c r="AA8" i="1"/>
  <c r="AB11" i="1"/>
  <c r="AA11" i="1"/>
  <c r="AB18" i="1"/>
  <c r="AD18" i="1" s="1"/>
  <c r="AA18" i="1"/>
  <c r="AB9" i="1"/>
  <c r="AA9" i="1"/>
  <c r="AB6" i="1"/>
  <c r="AA6" i="1"/>
  <c r="AA21" i="1"/>
  <c r="AB21" i="1"/>
  <c r="AB22" i="1"/>
  <c r="AA22" i="1"/>
  <c r="AA4" i="1"/>
  <c r="AB4" i="1"/>
  <c r="AA14" i="1"/>
  <c r="AB14" i="1"/>
  <c r="AB23" i="1"/>
  <c r="AD23" i="1" s="1"/>
  <c r="AA23" i="1"/>
  <c r="AB17" i="1"/>
  <c r="AA17" i="1"/>
  <c r="AB12" i="1"/>
  <c r="AA12" i="1"/>
  <c r="AG8" i="1"/>
  <c r="AG14" i="1"/>
  <c r="AG21" i="1"/>
  <c r="Z7" i="1"/>
  <c r="Z20" i="1"/>
  <c r="Z24" i="1" s="1"/>
  <c r="F6" i="1"/>
  <c r="X24" i="1"/>
  <c r="F7" i="1"/>
  <c r="O8" i="1" s="1"/>
  <c r="AC5" i="1" l="1"/>
  <c r="AH18" i="1" a="1"/>
  <c r="AH18" i="1" s="1"/>
  <c r="AI18" i="1" s="1"/>
  <c r="AH8" i="1" a="1"/>
  <c r="AH8" i="1" s="1"/>
  <c r="AI8" i="1" s="1"/>
  <c r="AD8" i="1"/>
  <c r="AC6" i="1"/>
  <c r="AD6" i="1"/>
  <c r="AD5" i="1"/>
  <c r="AD14" i="1"/>
  <c r="AC14" i="1"/>
  <c r="AC8" i="1"/>
  <c r="AD13" i="1"/>
  <c r="AC17" i="1"/>
  <c r="AC21" i="1"/>
  <c r="AD21" i="1"/>
  <c r="AC23" i="1"/>
  <c r="AC12" i="1"/>
  <c r="AD16" i="1"/>
  <c r="AD12" i="1"/>
  <c r="AC16" i="1"/>
  <c r="AD17" i="1"/>
  <c r="AC18" i="1"/>
  <c r="AD10" i="1"/>
  <c r="AC10" i="1"/>
  <c r="AH13" i="1" a="1"/>
  <c r="AH13" i="1" s="1"/>
  <c r="AH12" i="1" a="1"/>
  <c r="AH12" i="1" s="1"/>
  <c r="AJ12" i="1" s="1"/>
  <c r="AH23" i="1" a="1"/>
  <c r="AH23" i="1" s="1"/>
  <c r="AJ23" i="1" s="1"/>
  <c r="AH17" i="1" a="1"/>
  <c r="AH17" i="1" s="1"/>
  <c r="AJ17" i="1" s="1"/>
  <c r="AH7" i="1" a="1"/>
  <c r="AH7" i="1" s="1"/>
  <c r="AJ7" i="1" s="1"/>
  <c r="AH16" i="1" a="1"/>
  <c r="AH16" i="1" s="1"/>
  <c r="AH6" i="1" a="1"/>
  <c r="AH6" i="1" s="1"/>
  <c r="AI6" i="1" s="1"/>
  <c r="AH22" i="1" a="1"/>
  <c r="AH22" i="1" s="1"/>
  <c r="AH21" i="1" a="1"/>
  <c r="AH21" i="1" s="1"/>
  <c r="AJ21" i="1" s="1"/>
  <c r="AH15" i="1" a="1"/>
  <c r="AH15" i="1" s="1"/>
  <c r="AH11" i="1" a="1"/>
  <c r="AH11" i="1" s="1"/>
  <c r="AH5" i="1" a="1"/>
  <c r="AH5" i="1" s="1"/>
  <c r="AJ5" i="1" s="1"/>
  <c r="AH14" i="1" a="1"/>
  <c r="AH14" i="1" s="1"/>
  <c r="AI14" i="1" s="1"/>
  <c r="AH19" i="1" a="1"/>
  <c r="AH19" i="1" s="1"/>
  <c r="AJ19" i="1" s="1"/>
  <c r="AH20" i="1" a="1"/>
  <c r="AH20" i="1" s="1"/>
  <c r="AH10" i="1" a="1"/>
  <c r="AH10" i="1" s="1"/>
  <c r="AH4" i="1" a="1"/>
  <c r="AH4" i="1" s="1"/>
  <c r="AH9" i="1" a="1"/>
  <c r="AH9" i="1" s="1"/>
  <c r="AE24" i="1"/>
  <c r="AF11" i="1" s="1"/>
  <c r="O17" i="1"/>
  <c r="O9" i="1"/>
  <c r="O18" i="1"/>
  <c r="AF21" i="1"/>
  <c r="AD4" i="1"/>
  <c r="AI5" i="1"/>
  <c r="AI12" i="1"/>
  <c r="AC4" i="1"/>
  <c r="AF15" i="1"/>
  <c r="AF22" i="1"/>
  <c r="AC22" i="1"/>
  <c r="AC9" i="1"/>
  <c r="AF10" i="1"/>
  <c r="AD22" i="1"/>
  <c r="AD9" i="1"/>
  <c r="AC11" i="1"/>
  <c r="AI21" i="1"/>
  <c r="AI7" i="1"/>
  <c r="AD11" i="1"/>
  <c r="AB20" i="1"/>
  <c r="AD20" i="1" s="1"/>
  <c r="AA20" i="1"/>
  <c r="AC20" i="1" s="1"/>
  <c r="AJ8" i="1"/>
  <c r="AC15" i="1"/>
  <c r="AB7" i="1"/>
  <c r="AD7" i="1" s="1"/>
  <c r="AA7" i="1"/>
  <c r="AC7" i="1" s="1"/>
  <c r="AF13" i="1"/>
  <c r="AD15" i="1"/>
  <c r="AJ18" i="1" l="1"/>
  <c r="AJ14" i="1"/>
  <c r="AJ20" i="1"/>
  <c r="AI20" i="1"/>
  <c r="AJ13" i="1"/>
  <c r="AI13" i="1"/>
  <c r="AI23" i="1"/>
  <c r="AI17" i="1"/>
  <c r="AI19" i="1"/>
  <c r="AJ11" i="1"/>
  <c r="AI11" i="1"/>
  <c r="AJ15" i="1"/>
  <c r="AI15" i="1"/>
  <c r="AI22" i="1"/>
  <c r="AJ22" i="1"/>
  <c r="AJ6" i="1"/>
  <c r="AJ9" i="1"/>
  <c r="AI9" i="1"/>
  <c r="AI16" i="1"/>
  <c r="AJ16" i="1"/>
  <c r="AI10" i="1"/>
  <c r="AJ10" i="1"/>
  <c r="AJ4" i="1"/>
  <c r="AI4" i="1"/>
  <c r="O5" i="1"/>
  <c r="P5" i="1" s="1"/>
  <c r="AF9" i="1"/>
  <c r="O4" i="1"/>
  <c r="AF17" i="1"/>
  <c r="AF12" i="1"/>
  <c r="AF5" i="1"/>
  <c r="AF14" i="1"/>
  <c r="AF4" i="1"/>
  <c r="AF16" i="1"/>
  <c r="AF19" i="1"/>
  <c r="AF18" i="1"/>
  <c r="AF20" i="1"/>
  <c r="AF23" i="1"/>
  <c r="AF8" i="1"/>
  <c r="AF6" i="1"/>
  <c r="AF7" i="1"/>
  <c r="O10" i="1" l="1"/>
  <c r="O11" i="1" s="1"/>
  <c r="P4" i="1"/>
</calcChain>
</file>

<file path=xl/sharedStrings.xml><?xml version="1.0" encoding="utf-8"?>
<sst xmlns="http://schemas.openxmlformats.org/spreadsheetml/2006/main" count="51" uniqueCount="47">
  <si>
    <t>los</t>
  </si>
  <si>
    <t>age</t>
  </si>
  <si>
    <t>white</t>
  </si>
  <si>
    <t>male</t>
  </si>
  <si>
    <t>Zero-Truncated Poisson Regression</t>
  </si>
  <si>
    <t>Goodness of Fit</t>
  </si>
  <si>
    <t>Residuals</t>
  </si>
  <si>
    <t>Predictions</t>
  </si>
  <si>
    <t>coeff</t>
  </si>
  <si>
    <t>s.e.</t>
  </si>
  <si>
    <t>z-stat</t>
  </si>
  <si>
    <t>p-value</t>
  </si>
  <si>
    <t>lower</t>
  </si>
  <si>
    <t>upper</t>
  </si>
  <si>
    <t>chi-sq</t>
  </si>
  <si>
    <t>Covariance Matrix</t>
  </si>
  <si>
    <t>y</t>
  </si>
  <si>
    <t>mu</t>
  </si>
  <si>
    <t>r</t>
  </si>
  <si>
    <t>p</t>
  </si>
  <si>
    <t>d</t>
  </si>
  <si>
    <t>sp</t>
  </si>
  <si>
    <t>sd</t>
  </si>
  <si>
    <t>h</t>
  </si>
  <si>
    <t>pred</t>
  </si>
  <si>
    <t>intercept</t>
  </si>
  <si>
    <t>Pearson</t>
  </si>
  <si>
    <t>G-square</t>
  </si>
  <si>
    <t>n</t>
  </si>
  <si>
    <t>k</t>
  </si>
  <si>
    <t>df</t>
  </si>
  <si>
    <t>converge</t>
  </si>
  <si>
    <t>yes</t>
  </si>
  <si>
    <t>phi</t>
  </si>
  <si>
    <t>sqrt phi</t>
  </si>
  <si>
    <t>LL min</t>
  </si>
  <si>
    <t>LL fit</t>
  </si>
  <si>
    <t>LL max</t>
  </si>
  <si>
    <t>R-square</t>
  </si>
  <si>
    <t>AIC</t>
  </si>
  <si>
    <t>BIC</t>
  </si>
  <si>
    <t>alpha</t>
  </si>
  <si>
    <t>crit</t>
  </si>
  <si>
    <t>Real Statistics Using Excel</t>
  </si>
  <si>
    <t>Updated</t>
  </si>
  <si>
    <t>Copyright © 2013 - 2025 Charles Zaiontz</t>
  </si>
  <si>
    <t>Creating a ZTP Regression model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</si>
</sst>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3C02-67AA-451A-9692-87193D38B1FF}"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43</v>
      </c>
    </row>
    <row r="2" spans="1:13" x14ac:dyDescent="0.35">
      <c r="A2" t="s">
        <v>46</v>
      </c>
    </row>
    <row r="4" spans="1:13" x14ac:dyDescent="0.35">
      <c r="A4" t="s">
        <v>44</v>
      </c>
      <c r="B4" s="15">
        <v>45918</v>
      </c>
    </row>
    <row r="6" spans="1:13" x14ac:dyDescent="0.35">
      <c r="A6" s="16" t="s">
        <v>45</v>
      </c>
    </row>
    <row r="10" spans="1:13" ht="18.5" x14ac:dyDescent="0.45">
      <c r="M1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87D1-D540-4B2D-BCB8-173CBAC98C0B}">
  <dimension ref="A1:AJ24"/>
  <sheetViews>
    <sheetView workbookViewId="0"/>
  </sheetViews>
  <sheetFormatPr defaultRowHeight="14.5" x14ac:dyDescent="0.35"/>
  <cols>
    <col min="1" max="4" width="5.6328125" customWidth="1"/>
    <col min="23" max="23" width="2.36328125" customWidth="1"/>
    <col min="24" max="24" width="6.90625" customWidth="1"/>
    <col min="32" max="32" width="3.6328125" customWidth="1"/>
  </cols>
  <sheetData>
    <row r="1" spans="1:36" x14ac:dyDescent="0.35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  <c r="N1" t="s">
        <v>5</v>
      </c>
      <c r="X1" t="s">
        <v>6</v>
      </c>
      <c r="AG1" t="s">
        <v>7</v>
      </c>
    </row>
    <row r="2" spans="1:36" x14ac:dyDescent="0.35">
      <c r="A2" s="2">
        <v>1</v>
      </c>
      <c r="B2" s="2">
        <v>34</v>
      </c>
      <c r="C2" s="2">
        <v>1</v>
      </c>
      <c r="D2" s="2">
        <v>1</v>
      </c>
    </row>
    <row r="3" spans="1:36" x14ac:dyDescent="0.35">
      <c r="A3" s="2">
        <v>9</v>
      </c>
      <c r="B3" s="2">
        <v>42</v>
      </c>
      <c r="C3" s="2">
        <v>1</v>
      </c>
      <c r="D3" s="2">
        <v>1</v>
      </c>
      <c r="F3" s="2"/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O3" s="2" t="s">
        <v>14</v>
      </c>
      <c r="P3" s="2" t="s">
        <v>11</v>
      </c>
      <c r="R3" t="s">
        <v>15</v>
      </c>
      <c r="X3" s="2" t="s">
        <v>16</v>
      </c>
      <c r="Y3" s="2" t="s">
        <v>17</v>
      </c>
      <c r="Z3" s="2" t="s">
        <v>18</v>
      </c>
      <c r="AA3" s="2" t="s">
        <v>19</v>
      </c>
      <c r="AB3" s="2" t="s">
        <v>20</v>
      </c>
      <c r="AC3" s="2" t="s">
        <v>21</v>
      </c>
      <c r="AD3" s="2" t="s">
        <v>22</v>
      </c>
      <c r="AE3" s="2" t="s">
        <v>23</v>
      </c>
      <c r="AG3" s="2" t="s">
        <v>24</v>
      </c>
      <c r="AH3" s="2" t="s">
        <v>9</v>
      </c>
      <c r="AI3" s="2" t="s">
        <v>12</v>
      </c>
      <c r="AJ3" s="2" t="s">
        <v>13</v>
      </c>
    </row>
    <row r="4" spans="1:36" x14ac:dyDescent="0.35">
      <c r="A4" s="2">
        <v>24</v>
      </c>
      <c r="B4" s="2">
        <v>59</v>
      </c>
      <c r="C4" s="2">
        <v>1</v>
      </c>
      <c r="D4" s="2">
        <v>1</v>
      </c>
      <c r="F4" t="s">
        <v>25</v>
      </c>
      <c r="G4" s="3">
        <v>0.41670529872493833</v>
      </c>
      <c r="H4" s="4" t="e">
        <f t="array" aca="1" ref="H4:L7" ca="1">ZTPParam(B2:D21,A2:A21,G4:G7)</f>
        <v>#NAME?</v>
      </c>
      <c r="I4" s="4" t="e">
        <f ca="1"/>
        <v>#NAME?</v>
      </c>
      <c r="J4" s="4" t="e">
        <f ca="1"/>
        <v>#NAME?</v>
      </c>
      <c r="K4" s="4" t="e">
        <f ca="1"/>
        <v>#NAME?</v>
      </c>
      <c r="L4" s="5" t="e">
        <f ca="1"/>
        <v>#NAME?</v>
      </c>
      <c r="N4" t="s">
        <v>26</v>
      </c>
      <c r="O4" s="3">
        <f>SUMSQ(AA4:AA23)</f>
        <v>64.29801795502847</v>
      </c>
      <c r="P4" s="5">
        <f>_xlfn.CHISQ.DIST.RT(O4,O9)</f>
        <v>9.7249424999703862E-8</v>
      </c>
      <c r="R4" s="3" t="e">
        <f t="array" aca="1" ref="R4:U7" ca="1">ZTPCov(B2:D21,A2:A21,G4:G7)</f>
        <v>#NAME?</v>
      </c>
      <c r="S4" s="4" t="e">
        <f ca="1"/>
        <v>#NAME?</v>
      </c>
      <c r="T4" s="4" t="e">
        <f ca="1"/>
        <v>#NAME?</v>
      </c>
      <c r="U4" s="5" t="e">
        <f ca="1"/>
        <v>#NAME?</v>
      </c>
      <c r="X4" s="3">
        <f>A2</f>
        <v>1</v>
      </c>
      <c r="Y4" s="4">
        <f>EXP(G$4+MMULT(B2:D2,G$5:G$7))</f>
        <v>7.3027701418601723</v>
      </c>
      <c r="Z4" s="4">
        <f>X4-Y4</f>
        <v>-6.3027701418601723</v>
      </c>
      <c r="AA4" s="4">
        <f>Z4/SQRT(Y4*((1+Y4)*(1-EXP(-Y4))-Y4))*(1-EXP(-Y4))</f>
        <v>-2.3372919789181399</v>
      </c>
      <c r="AB4" s="4">
        <f>SIGN(Z4)*SQRT(2*(IF(X4=0,0,X4*LN(X4/Y4))-Z4))</f>
        <v>-2.9375215383718389</v>
      </c>
      <c r="AC4" s="4" t="e">
        <f ca="1">AA4/SQRT(1-AE4)</f>
        <v>#NAME?</v>
      </c>
      <c r="AD4" s="4" t="e">
        <f ca="1">AB4/SQRT(1-AE4)</f>
        <v>#NAME?</v>
      </c>
      <c r="AE4" s="5" t="e">
        <f t="array" aca="1" ref="AE4:AE23" ca="1">DIAG(MMULT(MMULT(Y4:Y23*DEsign(B2:D21),MINVERSE(MMULT(TRANSPOSE(DEsign(B2:D21)),Y4:Y23*DEsign(B2:D21)))),TRANSPOSE(DEsign(B2:D21))))</f>
        <v>#NAME?</v>
      </c>
      <c r="AF4" t="e">
        <f ca="1">IF(AE4&lt;=$AE$24,"","*")</f>
        <v>#NAME?</v>
      </c>
      <c r="AG4" s="3">
        <f>Y4</f>
        <v>7.3027701418601723</v>
      </c>
      <c r="AH4" s="4" t="e">
        <f t="array" aca="1" ref="AH4" ca="1">AG4*SQRT(MMULT(MMULT(DEsign(B2:D2),$R$4:$U$7),TRANSPOSE(DEsign(B2:D2))))</f>
        <v>#NAME?</v>
      </c>
      <c r="AI4" s="4" t="e">
        <f ca="1">AG4-AH4*O$21</f>
        <v>#NAME?</v>
      </c>
      <c r="AJ4" s="5" t="e">
        <f ca="1">AG4+AH4*O$21</f>
        <v>#NAME?</v>
      </c>
    </row>
    <row r="5" spans="1:36" x14ac:dyDescent="0.35">
      <c r="A5" s="2">
        <v>6</v>
      </c>
      <c r="B5" s="2">
        <v>26</v>
      </c>
      <c r="C5" s="2">
        <v>0</v>
      </c>
      <c r="D5" s="2">
        <v>0</v>
      </c>
      <c r="F5" t="str">
        <f t="array" ref="F5:F7">TRANSPOSE(B1:D1)</f>
        <v>age</v>
      </c>
      <c r="G5" s="9">
        <v>3.1980447017804788E-2</v>
      </c>
      <c r="H5" t="e">
        <f ca="1"/>
        <v>#NAME?</v>
      </c>
      <c r="I5" t="e">
        <f ca="1"/>
        <v>#NAME?</v>
      </c>
      <c r="J5" t="e">
        <f ca="1"/>
        <v>#NAME?</v>
      </c>
      <c r="K5" t="e">
        <f ca="1"/>
        <v>#NAME?</v>
      </c>
      <c r="L5" s="6" t="e">
        <f ca="1"/>
        <v>#NAME?</v>
      </c>
      <c r="N5" t="s">
        <v>27</v>
      </c>
      <c r="O5" s="10">
        <f>SUMSQ(AB4:AB23)</f>
        <v>62.544338593637157</v>
      </c>
      <c r="P5" s="8">
        <f>_xlfn.CHISQ.DIST.RT(O5,O9)</f>
        <v>1.9396649664413621E-7</v>
      </c>
      <c r="R5" s="9" t="e">
        <f ca="1"/>
        <v>#NAME?</v>
      </c>
      <c r="S5" t="e">
        <f ca="1"/>
        <v>#NAME?</v>
      </c>
      <c r="T5" t="e">
        <f ca="1"/>
        <v>#NAME?</v>
      </c>
      <c r="U5" s="6" t="e">
        <f ca="1"/>
        <v>#NAME?</v>
      </c>
      <c r="X5" s="9">
        <f t="shared" ref="X5:X23" si="0">A3</f>
        <v>9</v>
      </c>
      <c r="Y5">
        <f t="shared" ref="Y5:Y23" si="1">EXP(G$4+MMULT(B3:D3,G$5:G$7))</f>
        <v>9.4318977630344243</v>
      </c>
      <c r="Z5">
        <f t="shared" ref="Z5:Z23" si="2">X5-Y5</f>
        <v>-0.43189776303442429</v>
      </c>
      <c r="AA5">
        <f t="shared" ref="AA5:AA23" si="3">Z5/SQRT(Y5*((1+Y5)*(1-EXP(-Y5))-Y5))*(1-EXP(-Y5))</f>
        <v>-0.14067865144150377</v>
      </c>
      <c r="AB5">
        <f t="shared" ref="AB5:AB23" si="4">SIGN(Z5)*SQRT(2*(IF(X5=0,0,X5*LN(X5/Y5))-Z5))</f>
        <v>-0.14172540230991915</v>
      </c>
      <c r="AC5" t="e">
        <f t="shared" ref="AC5:AC23" ca="1" si="5">AA5/SQRT(1-AE5)</f>
        <v>#NAME?</v>
      </c>
      <c r="AD5" t="e">
        <f t="shared" ref="AD5:AD23" ca="1" si="6">AB5/SQRT(1-AE5)</f>
        <v>#NAME?</v>
      </c>
      <c r="AE5" s="6" t="e">
        <f ca="1"/>
        <v>#NAME?</v>
      </c>
      <c r="AF5" t="e">
        <f t="shared" ref="AF5:AF23" ca="1" si="7">IF(AE5&lt;=$AE$24,"","*")</f>
        <v>#NAME?</v>
      </c>
      <c r="AG5" s="9">
        <f t="shared" ref="AG5:AG23" si="8">Y5</f>
        <v>9.4318977630344243</v>
      </c>
      <c r="AH5" t="e">
        <f t="array" aca="1" ref="AH5" ca="1">AG5*SQRT(MMULT(MMULT(DEsign(B3:D3),$R$4:$U$7),TRANSPOSE(DEsign(B3:D3))))</f>
        <v>#NAME?</v>
      </c>
      <c r="AI5" t="e">
        <f t="shared" ref="AI5:AI23" ca="1" si="9">AG5-AH5*O$21</f>
        <v>#NAME?</v>
      </c>
      <c r="AJ5" s="6" t="e">
        <f t="shared" ref="AJ5:AJ23" ca="1" si="10">AG5+AH5*O$21</f>
        <v>#NAME?</v>
      </c>
    </row>
    <row r="6" spans="1:36" x14ac:dyDescent="0.35">
      <c r="A6" s="2">
        <v>1</v>
      </c>
      <c r="B6" s="2">
        <v>27</v>
      </c>
      <c r="C6" s="2">
        <v>1</v>
      </c>
      <c r="D6" s="2">
        <v>0</v>
      </c>
      <c r="F6" t="str">
        <v>white</v>
      </c>
      <c r="G6" s="9">
        <v>0.1329600561002828</v>
      </c>
      <c r="H6" t="e">
        <f ca="1"/>
        <v>#NAME?</v>
      </c>
      <c r="I6" t="e">
        <f ca="1"/>
        <v>#NAME?</v>
      </c>
      <c r="J6" t="e">
        <f ca="1"/>
        <v>#NAME?</v>
      </c>
      <c r="K6" t="e">
        <f ca="1"/>
        <v>#NAME?</v>
      </c>
      <c r="L6" s="6" t="e">
        <f ca="1"/>
        <v>#NAME?</v>
      </c>
      <c r="R6" s="9" t="e">
        <f ca="1"/>
        <v>#NAME?</v>
      </c>
      <c r="S6" t="e">
        <f ca="1"/>
        <v>#NAME?</v>
      </c>
      <c r="T6" t="e">
        <f ca="1"/>
        <v>#NAME?</v>
      </c>
      <c r="U6" s="6" t="e">
        <f ca="1"/>
        <v>#NAME?</v>
      </c>
      <c r="X6" s="9">
        <f t="shared" si="0"/>
        <v>24</v>
      </c>
      <c r="Y6">
        <f t="shared" si="1"/>
        <v>16.244671106815741</v>
      </c>
      <c r="Z6">
        <f t="shared" si="2"/>
        <v>7.7553288931842594</v>
      </c>
      <c r="AA6">
        <f t="shared" si="3"/>
        <v>1.9241771393124447</v>
      </c>
      <c r="AB6">
        <f t="shared" si="4"/>
        <v>1.7953299867271659</v>
      </c>
      <c r="AC6" t="e">
        <f t="shared" ca="1" si="5"/>
        <v>#NAME?</v>
      </c>
      <c r="AD6" t="e">
        <f t="shared" ca="1" si="6"/>
        <v>#NAME?</v>
      </c>
      <c r="AE6" s="6" t="e">
        <f ca="1"/>
        <v>#NAME?</v>
      </c>
      <c r="AF6" t="e">
        <f t="shared" ca="1" si="7"/>
        <v>#NAME?</v>
      </c>
      <c r="AG6" s="9">
        <f t="shared" si="8"/>
        <v>16.244671106815741</v>
      </c>
      <c r="AH6" t="e">
        <f t="array" aca="1" ref="AH6" ca="1">AG6*SQRT(MMULT(MMULT(DEsign(B4:D4),$R$4:$U$7),TRANSPOSE(DEsign(B4:D4))))</f>
        <v>#NAME?</v>
      </c>
      <c r="AI6" t="e">
        <f t="shared" ca="1" si="9"/>
        <v>#NAME?</v>
      </c>
      <c r="AJ6" s="6" t="e">
        <f t="shared" ca="1" si="10"/>
        <v>#NAME?</v>
      </c>
    </row>
    <row r="7" spans="1:36" x14ac:dyDescent="0.35">
      <c r="A7" s="2">
        <v>17</v>
      </c>
      <c r="B7" s="2">
        <v>29</v>
      </c>
      <c r="C7" s="2">
        <v>1</v>
      </c>
      <c r="D7" s="2">
        <v>1</v>
      </c>
      <c r="F7" t="str">
        <v>male</v>
      </c>
      <c r="G7" s="10">
        <v>0.35125319423036072</v>
      </c>
      <c r="H7" s="7" t="e">
        <f ca="1"/>
        <v>#NAME?</v>
      </c>
      <c r="I7" s="7" t="e">
        <f ca="1"/>
        <v>#NAME?</v>
      </c>
      <c r="J7" s="7" t="e">
        <f ca="1"/>
        <v>#NAME?</v>
      </c>
      <c r="K7" s="7" t="e">
        <f ca="1"/>
        <v>#NAME?</v>
      </c>
      <c r="L7" s="8" t="e">
        <f ca="1"/>
        <v>#NAME?</v>
      </c>
      <c r="N7" t="s">
        <v>28</v>
      </c>
      <c r="O7" s="11">
        <f>COUNT(A2:A21)</f>
        <v>20</v>
      </c>
      <c r="R7" s="10" t="e">
        <f ca="1"/>
        <v>#NAME?</v>
      </c>
      <c r="S7" s="7" t="e">
        <f ca="1"/>
        <v>#NAME?</v>
      </c>
      <c r="T7" s="7" t="e">
        <f ca="1"/>
        <v>#NAME?</v>
      </c>
      <c r="U7" s="8" t="e">
        <f ca="1"/>
        <v>#NAME?</v>
      </c>
      <c r="X7" s="9">
        <f t="shared" si="0"/>
        <v>6</v>
      </c>
      <c r="Y7">
        <f t="shared" si="1"/>
        <v>3.4840552643347671</v>
      </c>
      <c r="Z7">
        <f t="shared" si="2"/>
        <v>2.5159447356652329</v>
      </c>
      <c r="AA7">
        <f t="shared" si="3"/>
        <v>1.4069086228553498</v>
      </c>
      <c r="AB7">
        <f t="shared" si="4"/>
        <v>1.2210082330401537</v>
      </c>
      <c r="AC7" t="e">
        <f t="shared" ca="1" si="5"/>
        <v>#NAME?</v>
      </c>
      <c r="AD7" t="e">
        <f t="shared" ca="1" si="6"/>
        <v>#NAME?</v>
      </c>
      <c r="AE7" s="6" t="e">
        <f ca="1"/>
        <v>#NAME?</v>
      </c>
      <c r="AF7" t="e">
        <f t="shared" ca="1" si="7"/>
        <v>#NAME?</v>
      </c>
      <c r="AG7" s="9">
        <f t="shared" si="8"/>
        <v>3.4840552643347671</v>
      </c>
      <c r="AH7" t="e">
        <f t="array" aca="1" ref="AH7" ca="1">AG7*SQRT(MMULT(MMULT(DEsign(B5:D5),$R$4:$U$7),TRANSPOSE(DEsign(B5:D5))))</f>
        <v>#NAME?</v>
      </c>
      <c r="AI7" t="e">
        <f t="shared" ca="1" si="9"/>
        <v>#NAME?</v>
      </c>
      <c r="AJ7" s="6" t="e">
        <f t="shared" ca="1" si="10"/>
        <v>#NAME?</v>
      </c>
    </row>
    <row r="8" spans="1:36" x14ac:dyDescent="0.35">
      <c r="A8" s="2">
        <v>1</v>
      </c>
      <c r="B8" s="2">
        <v>44</v>
      </c>
      <c r="C8" s="2">
        <v>1</v>
      </c>
      <c r="D8" s="2">
        <v>0</v>
      </c>
      <c r="N8" t="s">
        <v>29</v>
      </c>
      <c r="O8" s="12">
        <f>COUNTA(F4:F8)</f>
        <v>4</v>
      </c>
      <c r="X8" s="9">
        <f t="shared" si="0"/>
        <v>1</v>
      </c>
      <c r="Y8">
        <f t="shared" si="1"/>
        <v>4.1088263343388878</v>
      </c>
      <c r="Z8">
        <f t="shared" si="2"/>
        <v>-3.1088263343388878</v>
      </c>
      <c r="AA8">
        <f t="shared" si="3"/>
        <v>-1.5760795636746399</v>
      </c>
      <c r="AB8">
        <f t="shared" si="4"/>
        <v>-1.8415693905106791</v>
      </c>
      <c r="AC8" t="e">
        <f t="shared" ca="1" si="5"/>
        <v>#NAME?</v>
      </c>
      <c r="AD8" t="e">
        <f t="shared" ca="1" si="6"/>
        <v>#NAME?</v>
      </c>
      <c r="AE8" s="6" t="e">
        <f ca="1"/>
        <v>#NAME?</v>
      </c>
      <c r="AF8" t="e">
        <f t="shared" ca="1" si="7"/>
        <v>#NAME?</v>
      </c>
      <c r="AG8" s="9">
        <f t="shared" si="8"/>
        <v>4.1088263343388878</v>
      </c>
      <c r="AH8" t="e">
        <f t="array" aca="1" ref="AH8" ca="1">AG8*SQRT(MMULT(MMULT(DEsign(B6:D6),$R$4:$U$7),TRANSPOSE(DEsign(B6:D6))))</f>
        <v>#NAME?</v>
      </c>
      <c r="AI8" t="e">
        <f t="shared" ca="1" si="9"/>
        <v>#NAME?</v>
      </c>
      <c r="AJ8" s="6" t="e">
        <f t="shared" ca="1" si="10"/>
        <v>#NAME?</v>
      </c>
    </row>
    <row r="9" spans="1:36" x14ac:dyDescent="0.35">
      <c r="A9" s="2">
        <v>5</v>
      </c>
      <c r="B9" s="2">
        <v>34</v>
      </c>
      <c r="C9" s="2">
        <v>1</v>
      </c>
      <c r="D9" s="2">
        <v>1</v>
      </c>
      <c r="N9" t="s">
        <v>30</v>
      </c>
      <c r="O9" s="12">
        <f>O7-O8</f>
        <v>16</v>
      </c>
      <c r="X9" s="9">
        <f t="shared" si="0"/>
        <v>17</v>
      </c>
      <c r="Y9">
        <f t="shared" si="1"/>
        <v>6.2236186404147373</v>
      </c>
      <c r="Z9">
        <f t="shared" si="2"/>
        <v>10.776381359585262</v>
      </c>
      <c r="AA9">
        <f t="shared" si="3"/>
        <v>4.3423149767299609</v>
      </c>
      <c r="AB9">
        <f t="shared" si="4"/>
        <v>3.5514137398077854</v>
      </c>
      <c r="AC9" t="e">
        <f t="shared" ca="1" si="5"/>
        <v>#NAME?</v>
      </c>
      <c r="AD9" t="e">
        <f t="shared" ca="1" si="6"/>
        <v>#NAME?</v>
      </c>
      <c r="AE9" s="6" t="e">
        <f ca="1"/>
        <v>#NAME?</v>
      </c>
      <c r="AF9" t="e">
        <f t="shared" ca="1" si="7"/>
        <v>#NAME?</v>
      </c>
      <c r="AG9" s="9">
        <f t="shared" si="8"/>
        <v>6.2236186404147373</v>
      </c>
      <c r="AH9" t="e">
        <f t="array" aca="1" ref="AH9" ca="1">AG9*SQRT(MMULT(MMULT(DEsign(B7:D7),$R$4:$U$7),TRANSPOSE(DEsign(B7:D7))))</f>
        <v>#NAME?</v>
      </c>
      <c r="AI9" t="e">
        <f t="shared" ca="1" si="9"/>
        <v>#NAME?</v>
      </c>
      <c r="AJ9" s="6" t="e">
        <f t="shared" ca="1" si="10"/>
        <v>#NAME?</v>
      </c>
    </row>
    <row r="10" spans="1:36" x14ac:dyDescent="0.35">
      <c r="A10" s="2">
        <v>1</v>
      </c>
      <c r="B10" s="2">
        <v>21</v>
      </c>
      <c r="C10" s="2">
        <v>0</v>
      </c>
      <c r="D10" s="2">
        <v>0</v>
      </c>
      <c r="F10" t="s">
        <v>31</v>
      </c>
      <c r="G10" s="13" t="s">
        <v>32</v>
      </c>
      <c r="N10" t="s">
        <v>33</v>
      </c>
      <c r="O10" s="12">
        <f>O4/O9</f>
        <v>4.0186261221892794</v>
      </c>
      <c r="X10" s="9">
        <f t="shared" si="0"/>
        <v>1</v>
      </c>
      <c r="Y10">
        <f t="shared" si="1"/>
        <v>7.0766810787487655</v>
      </c>
      <c r="Z10">
        <f t="shared" si="2"/>
        <v>-6.0766810787487655</v>
      </c>
      <c r="AA10">
        <f t="shared" si="3"/>
        <v>-2.2901872549256654</v>
      </c>
      <c r="AB10">
        <f t="shared" si="4"/>
        <v>-2.8704968403188094</v>
      </c>
      <c r="AC10" t="e">
        <f t="shared" ca="1" si="5"/>
        <v>#NAME?</v>
      </c>
      <c r="AD10" t="e">
        <f t="shared" ca="1" si="6"/>
        <v>#NAME?</v>
      </c>
      <c r="AE10" s="6" t="e">
        <f ca="1"/>
        <v>#NAME?</v>
      </c>
      <c r="AF10" t="e">
        <f t="shared" ca="1" si="7"/>
        <v>#NAME?</v>
      </c>
      <c r="AG10" s="9">
        <f t="shared" si="8"/>
        <v>7.0766810787487655</v>
      </c>
      <c r="AH10" t="e">
        <f t="array" aca="1" ref="AH10" ca="1">AG10*SQRT(MMULT(MMULT(DEsign(B8:D8),$R$4:$U$7),TRANSPOSE(DEsign(B8:D8))))</f>
        <v>#NAME?</v>
      </c>
      <c r="AI10" t="e">
        <f t="shared" ca="1" si="9"/>
        <v>#NAME?</v>
      </c>
      <c r="AJ10" s="6" t="e">
        <f t="shared" ca="1" si="10"/>
        <v>#NAME?</v>
      </c>
    </row>
    <row r="11" spans="1:36" x14ac:dyDescent="0.35">
      <c r="A11" s="2">
        <v>4</v>
      </c>
      <c r="B11" s="2">
        <v>37</v>
      </c>
      <c r="C11" s="2">
        <v>1</v>
      </c>
      <c r="D11" s="2">
        <v>1</v>
      </c>
      <c r="N11" t="s">
        <v>34</v>
      </c>
      <c r="O11" s="14">
        <f>SQRT(O10)</f>
        <v>2.004651122312628</v>
      </c>
      <c r="X11" s="9">
        <f t="shared" si="0"/>
        <v>5</v>
      </c>
      <c r="Y11">
        <f t="shared" si="1"/>
        <v>7.3027701418601723</v>
      </c>
      <c r="Z11">
        <f t="shared" si="2"/>
        <v>-2.3027701418601723</v>
      </c>
      <c r="AA11">
        <f t="shared" si="3"/>
        <v>-0.85394930494379007</v>
      </c>
      <c r="AB11">
        <f t="shared" si="4"/>
        <v>-0.90409177158732179</v>
      </c>
      <c r="AC11" t="e">
        <f t="shared" ca="1" si="5"/>
        <v>#NAME?</v>
      </c>
      <c r="AD11" t="e">
        <f t="shared" ca="1" si="6"/>
        <v>#NAME?</v>
      </c>
      <c r="AE11" s="6" t="e">
        <f ca="1"/>
        <v>#NAME?</v>
      </c>
      <c r="AF11" t="e">
        <f t="shared" ca="1" si="7"/>
        <v>#NAME?</v>
      </c>
      <c r="AG11" s="9">
        <f t="shared" si="8"/>
        <v>7.3027701418601723</v>
      </c>
      <c r="AH11" t="e">
        <f t="array" aca="1" ref="AH11" ca="1">AG11*SQRT(MMULT(MMULT(DEsign(B9:D9),$R$4:$U$7),TRANSPOSE(DEsign(B9:D9))))</f>
        <v>#NAME?</v>
      </c>
      <c r="AI11" t="e">
        <f t="shared" ca="1" si="9"/>
        <v>#NAME?</v>
      </c>
      <c r="AJ11" s="6" t="e">
        <f t="shared" ca="1" si="10"/>
        <v>#NAME?</v>
      </c>
    </row>
    <row r="12" spans="1:36" x14ac:dyDescent="0.35">
      <c r="A12" s="2">
        <v>1</v>
      </c>
      <c r="B12" s="2">
        <v>36</v>
      </c>
      <c r="C12" s="2">
        <v>1</v>
      </c>
      <c r="D12" s="2">
        <v>0</v>
      </c>
      <c r="X12" s="9">
        <f t="shared" si="0"/>
        <v>1</v>
      </c>
      <c r="Y12">
        <f t="shared" si="1"/>
        <v>2.9692063239204893</v>
      </c>
      <c r="Z12">
        <f t="shared" si="2"/>
        <v>-1.9692063239204893</v>
      </c>
      <c r="AA12">
        <f t="shared" si="3"/>
        <v>-1.2149750221531621</v>
      </c>
      <c r="AB12">
        <f t="shared" si="4"/>
        <v>-1.327336911128181</v>
      </c>
      <c r="AC12" t="e">
        <f t="shared" ca="1" si="5"/>
        <v>#NAME?</v>
      </c>
      <c r="AD12" t="e">
        <f t="shared" ca="1" si="6"/>
        <v>#NAME?</v>
      </c>
      <c r="AE12" s="6" t="e">
        <f ca="1"/>
        <v>#NAME?</v>
      </c>
      <c r="AF12" t="e">
        <f t="shared" ca="1" si="7"/>
        <v>#NAME?</v>
      </c>
      <c r="AG12" s="9">
        <f t="shared" si="8"/>
        <v>2.9692063239204893</v>
      </c>
      <c r="AH12" t="e">
        <f t="array" aca="1" ref="AH12" ca="1">AG12*SQRT(MMULT(MMULT(DEsign(B10:D10),$R$4:$U$7),TRANSPOSE(DEsign(B10:D10))))</f>
        <v>#NAME?</v>
      </c>
      <c r="AI12" t="e">
        <f t="shared" ca="1" si="9"/>
        <v>#NAME?</v>
      </c>
      <c r="AJ12" s="6" t="e">
        <f t="shared" ca="1" si="10"/>
        <v>#NAME?</v>
      </c>
    </row>
    <row r="13" spans="1:36" x14ac:dyDescent="0.35">
      <c r="A13" s="2">
        <v>15</v>
      </c>
      <c r="B13" s="2">
        <v>67</v>
      </c>
      <c r="C13" s="2">
        <v>1</v>
      </c>
      <c r="D13" s="2">
        <v>0</v>
      </c>
      <c r="N13" t="s">
        <v>35</v>
      </c>
      <c r="O13" s="11" t="e">
        <f ca="1">ZTPLL0(A2:A21)</f>
        <v>#NAME?</v>
      </c>
      <c r="X13" s="9">
        <f t="shared" si="0"/>
        <v>4</v>
      </c>
      <c r="Y13">
        <f t="shared" si="1"/>
        <v>8.038118904500374</v>
      </c>
      <c r="Z13">
        <f t="shared" si="2"/>
        <v>-4.038118904500374</v>
      </c>
      <c r="AA13">
        <f t="shared" si="3"/>
        <v>-1.4259237694062463</v>
      </c>
      <c r="AB13">
        <f t="shared" si="4"/>
        <v>-1.5789338137632623</v>
      </c>
      <c r="AC13" t="e">
        <f t="shared" ca="1" si="5"/>
        <v>#NAME?</v>
      </c>
      <c r="AD13" t="e">
        <f t="shared" ca="1" si="6"/>
        <v>#NAME?</v>
      </c>
      <c r="AE13" s="6" t="e">
        <f ca="1"/>
        <v>#NAME?</v>
      </c>
      <c r="AF13" t="e">
        <f t="shared" ca="1" si="7"/>
        <v>#NAME?</v>
      </c>
      <c r="AG13" s="9">
        <f t="shared" si="8"/>
        <v>8.038118904500374</v>
      </c>
      <c r="AH13" t="e">
        <f t="array" aca="1" ref="AH13" ca="1">AG13*SQRT(MMULT(MMULT(DEsign(B11:D11),$R$4:$U$7),TRANSPOSE(DEsign(B11:D11))))</f>
        <v>#NAME?</v>
      </c>
      <c r="AI13" t="e">
        <f t="shared" ca="1" si="9"/>
        <v>#NAME?</v>
      </c>
      <c r="AJ13" s="6" t="e">
        <f t="shared" ca="1" si="10"/>
        <v>#NAME?</v>
      </c>
    </row>
    <row r="14" spans="1:36" x14ac:dyDescent="0.35">
      <c r="A14" s="2">
        <v>14</v>
      </c>
      <c r="B14" s="2">
        <v>61</v>
      </c>
      <c r="C14" s="2">
        <v>1</v>
      </c>
      <c r="D14" s="2">
        <v>1</v>
      </c>
      <c r="N14" t="s">
        <v>36</v>
      </c>
      <c r="O14" s="12" t="e">
        <f t="array" aca="1" ref="O14" ca="1">ZTPLL(B2:D21,A2:A21,G4:G7)</f>
        <v>#NAME?</v>
      </c>
      <c r="X14" s="9">
        <f t="shared" si="0"/>
        <v>1</v>
      </c>
      <c r="Y14">
        <f t="shared" si="1"/>
        <v>5.4792128353951819</v>
      </c>
      <c r="Z14">
        <f t="shared" si="2"/>
        <v>-4.4792128353951819</v>
      </c>
      <c r="AA14">
        <f t="shared" si="3"/>
        <v>-1.9318710122471547</v>
      </c>
      <c r="AB14">
        <f t="shared" si="4"/>
        <v>-2.3572235311607548</v>
      </c>
      <c r="AC14" t="e">
        <f t="shared" ca="1" si="5"/>
        <v>#NAME?</v>
      </c>
      <c r="AD14" t="e">
        <f t="shared" ca="1" si="6"/>
        <v>#NAME?</v>
      </c>
      <c r="AE14" s="6" t="e">
        <f ca="1"/>
        <v>#NAME?</v>
      </c>
      <c r="AF14" t="e">
        <f t="shared" ca="1" si="7"/>
        <v>#NAME?</v>
      </c>
      <c r="AG14" s="9">
        <f t="shared" si="8"/>
        <v>5.4792128353951819</v>
      </c>
      <c r="AH14" t="e">
        <f t="array" aca="1" ref="AH14" ca="1">AG14*SQRT(MMULT(MMULT(DEsign(B12:D12),$R$4:$U$7),TRANSPOSE(DEsign(B12:D12))))</f>
        <v>#NAME?</v>
      </c>
      <c r="AI14" t="e">
        <f t="shared" ca="1" si="9"/>
        <v>#NAME?</v>
      </c>
      <c r="AJ14" s="6" t="e">
        <f t="shared" ca="1" si="10"/>
        <v>#NAME?</v>
      </c>
    </row>
    <row r="15" spans="1:36" x14ac:dyDescent="0.35">
      <c r="A15" s="2">
        <v>16</v>
      </c>
      <c r="B15" s="2">
        <v>51</v>
      </c>
      <c r="C15" s="2">
        <v>1</v>
      </c>
      <c r="D15" s="2">
        <v>1</v>
      </c>
      <c r="N15" t="s">
        <v>37</v>
      </c>
      <c r="O15" s="12" t="e">
        <f ca="1">ZTPLL1(A2:A21)</f>
        <v>#NAME?</v>
      </c>
      <c r="X15" s="9">
        <f t="shared" si="0"/>
        <v>15</v>
      </c>
      <c r="Y15">
        <f t="shared" si="1"/>
        <v>14.766414404467303</v>
      </c>
      <c r="Z15">
        <f t="shared" si="2"/>
        <v>0.23358559553269664</v>
      </c>
      <c r="AA15">
        <f t="shared" si="3"/>
        <v>6.0786856718307809E-2</v>
      </c>
      <c r="AB15">
        <f t="shared" si="4"/>
        <v>6.0627481035023099E-2</v>
      </c>
      <c r="AC15" t="e">
        <f t="shared" ca="1" si="5"/>
        <v>#NAME?</v>
      </c>
      <c r="AD15" t="e">
        <f t="shared" ca="1" si="6"/>
        <v>#NAME?</v>
      </c>
      <c r="AE15" s="6" t="e">
        <f ca="1"/>
        <v>#NAME?</v>
      </c>
      <c r="AF15" t="e">
        <f t="shared" ca="1" si="7"/>
        <v>#NAME?</v>
      </c>
      <c r="AG15" s="9">
        <f t="shared" si="8"/>
        <v>14.766414404467303</v>
      </c>
      <c r="AH15" t="e">
        <f t="array" aca="1" ref="AH15" ca="1">AG15*SQRT(MMULT(MMULT(DEsign(B13:D13),$R$4:$U$7),TRANSPOSE(DEsign(B13:D13))))</f>
        <v>#NAME?</v>
      </c>
      <c r="AI15" t="e">
        <f t="shared" ca="1" si="9"/>
        <v>#NAME?</v>
      </c>
      <c r="AJ15" s="6" t="e">
        <f t="shared" ca="1" si="10"/>
        <v>#NAME?</v>
      </c>
    </row>
    <row r="16" spans="1:36" x14ac:dyDescent="0.35">
      <c r="A16" s="2">
        <v>8</v>
      </c>
      <c r="B16" s="2">
        <v>42</v>
      </c>
      <c r="C16" s="2">
        <v>1</v>
      </c>
      <c r="D16" s="2">
        <v>0</v>
      </c>
      <c r="N16" t="s">
        <v>38</v>
      </c>
      <c r="O16" s="12" t="e">
        <f ca="1">(O14-O13)/(O15-O13)</f>
        <v>#NAME?</v>
      </c>
      <c r="X16" s="9">
        <f t="shared" si="0"/>
        <v>14</v>
      </c>
      <c r="Y16">
        <f t="shared" si="1"/>
        <v>17.317643150978604</v>
      </c>
      <c r="Z16">
        <f t="shared" si="2"/>
        <v>-3.3176431509786042</v>
      </c>
      <c r="AA16">
        <f t="shared" si="3"/>
        <v>-0.79723321561024418</v>
      </c>
      <c r="AB16">
        <f t="shared" si="4"/>
        <v>-0.82496584851592114</v>
      </c>
      <c r="AC16" t="e">
        <f t="shared" ca="1" si="5"/>
        <v>#NAME?</v>
      </c>
      <c r="AD16" t="e">
        <f t="shared" ca="1" si="6"/>
        <v>#NAME?</v>
      </c>
      <c r="AE16" s="6" t="e">
        <f ca="1"/>
        <v>#NAME?</v>
      </c>
      <c r="AF16" t="e">
        <f t="shared" ca="1" si="7"/>
        <v>#NAME?</v>
      </c>
      <c r="AG16" s="9">
        <f t="shared" si="8"/>
        <v>17.317643150978604</v>
      </c>
      <c r="AH16" t="e">
        <f t="array" aca="1" ref="AH16" ca="1">AG16*SQRT(MMULT(MMULT(DEsign(B14:D14),$R$4:$U$7),TRANSPOSE(DEsign(B14:D14))))</f>
        <v>#NAME?</v>
      </c>
      <c r="AI16" t="e">
        <f t="shared" ca="1" si="9"/>
        <v>#NAME?</v>
      </c>
      <c r="AJ16" s="6" t="e">
        <f t="shared" ca="1" si="10"/>
        <v>#NAME?</v>
      </c>
    </row>
    <row r="17" spans="1:36" x14ac:dyDescent="0.35">
      <c r="A17" s="2">
        <v>21</v>
      </c>
      <c r="B17" s="2">
        <v>70</v>
      </c>
      <c r="C17" s="2">
        <v>1</v>
      </c>
      <c r="D17" s="2">
        <v>0</v>
      </c>
      <c r="N17" t="s">
        <v>39</v>
      </c>
      <c r="O17" s="12" t="e">
        <f ca="1">2*(O8-O14)</f>
        <v>#NAME?</v>
      </c>
      <c r="X17" s="9">
        <f t="shared" si="0"/>
        <v>16</v>
      </c>
      <c r="Y17">
        <f t="shared" si="1"/>
        <v>12.577648963513225</v>
      </c>
      <c r="Z17">
        <f t="shared" si="2"/>
        <v>3.4223510364867753</v>
      </c>
      <c r="AA17">
        <f t="shared" si="3"/>
        <v>0.96501372083344938</v>
      </c>
      <c r="AB17">
        <f t="shared" si="4"/>
        <v>0.92555601443856472</v>
      </c>
      <c r="AC17" t="e">
        <f t="shared" ca="1" si="5"/>
        <v>#NAME?</v>
      </c>
      <c r="AD17" t="e">
        <f t="shared" ca="1" si="6"/>
        <v>#NAME?</v>
      </c>
      <c r="AE17" s="6" t="e">
        <f ca="1"/>
        <v>#NAME?</v>
      </c>
      <c r="AF17" t="e">
        <f t="shared" ca="1" si="7"/>
        <v>#NAME?</v>
      </c>
      <c r="AG17" s="9">
        <f t="shared" si="8"/>
        <v>12.577648963513225</v>
      </c>
      <c r="AH17" t="e">
        <f t="array" aca="1" ref="AH17" ca="1">AG17*SQRT(MMULT(MMULT(DEsign(B15:D15),$R$4:$U$7),TRANSPOSE(DEsign(B15:D15))))</f>
        <v>#NAME?</v>
      </c>
      <c r="AI17" t="e">
        <f t="shared" ca="1" si="9"/>
        <v>#NAME?</v>
      </c>
      <c r="AJ17" s="6" t="e">
        <f t="shared" ca="1" si="10"/>
        <v>#NAME?</v>
      </c>
    </row>
    <row r="18" spans="1:36" x14ac:dyDescent="0.35">
      <c r="A18" s="2">
        <v>13</v>
      </c>
      <c r="B18" s="2">
        <v>65</v>
      </c>
      <c r="C18" s="2">
        <v>1</v>
      </c>
      <c r="D18" s="2">
        <v>1</v>
      </c>
      <c r="N18" t="s">
        <v>40</v>
      </c>
      <c r="O18" s="14" t="e">
        <f ca="1">O8*LN(O7)-2*O14</f>
        <v>#NAME?</v>
      </c>
      <c r="X18" s="9">
        <f t="shared" si="0"/>
        <v>8</v>
      </c>
      <c r="Y18">
        <f t="shared" si="1"/>
        <v>6.6382218209412338</v>
      </c>
      <c r="Z18">
        <f t="shared" si="2"/>
        <v>1.3617781790587662</v>
      </c>
      <c r="AA18">
        <f t="shared" si="3"/>
        <v>0.53051067097588789</v>
      </c>
      <c r="AB18">
        <f t="shared" si="4"/>
        <v>0.51186153947282043</v>
      </c>
      <c r="AC18" t="e">
        <f t="shared" ca="1" si="5"/>
        <v>#NAME?</v>
      </c>
      <c r="AD18" t="e">
        <f t="shared" ca="1" si="6"/>
        <v>#NAME?</v>
      </c>
      <c r="AE18" s="6" t="e">
        <f ca="1"/>
        <v>#NAME?</v>
      </c>
      <c r="AF18" t="e">
        <f t="shared" ca="1" si="7"/>
        <v>#NAME?</v>
      </c>
      <c r="AG18" s="9">
        <f t="shared" si="8"/>
        <v>6.6382218209412338</v>
      </c>
      <c r="AH18" t="e">
        <f t="array" aca="1" ref="AH18" ca="1">AG18*SQRT(MMULT(MMULT(DEsign(B16:D16),$R$4:$U$7),TRANSPOSE(DEsign(B16:D16))))</f>
        <v>#NAME?</v>
      </c>
      <c r="AI18" t="e">
        <f t="shared" ca="1" si="9"/>
        <v>#NAME?</v>
      </c>
      <c r="AJ18" s="6" t="e">
        <f t="shared" ca="1" si="10"/>
        <v>#NAME?</v>
      </c>
    </row>
    <row r="19" spans="1:36" x14ac:dyDescent="0.35">
      <c r="A19" s="2">
        <v>7</v>
      </c>
      <c r="B19" s="2">
        <v>49</v>
      </c>
      <c r="C19" s="2">
        <v>0</v>
      </c>
      <c r="D19" s="2">
        <v>0</v>
      </c>
      <c r="X19" s="9">
        <f t="shared" si="0"/>
        <v>21</v>
      </c>
      <c r="Y19">
        <f t="shared" si="1"/>
        <v>16.253311068339517</v>
      </c>
      <c r="Z19">
        <f t="shared" si="2"/>
        <v>4.7466889316604828</v>
      </c>
      <c r="AA19">
        <f t="shared" si="3"/>
        <v>1.1773894429205956</v>
      </c>
      <c r="AB19">
        <f t="shared" si="4"/>
        <v>1.1261018542109869</v>
      </c>
      <c r="AC19" t="e">
        <f t="shared" ca="1" si="5"/>
        <v>#NAME?</v>
      </c>
      <c r="AD19" t="e">
        <f t="shared" ca="1" si="6"/>
        <v>#NAME?</v>
      </c>
      <c r="AE19" s="6" t="e">
        <f ca="1"/>
        <v>#NAME?</v>
      </c>
      <c r="AF19" t="e">
        <f t="shared" ca="1" si="7"/>
        <v>#NAME?</v>
      </c>
      <c r="AG19" s="9">
        <f t="shared" si="8"/>
        <v>16.253311068339517</v>
      </c>
      <c r="AH19" t="e">
        <f t="array" aca="1" ref="AH19" ca="1">AG19*SQRT(MMULT(MMULT(DEsign(B17:D17),$R$4:$U$7),TRANSPOSE(DEsign(B17:D17))))</f>
        <v>#NAME?</v>
      </c>
      <c r="AI19" t="e">
        <f t="shared" ca="1" si="9"/>
        <v>#NAME?</v>
      </c>
      <c r="AJ19" s="6" t="e">
        <f t="shared" ca="1" si="10"/>
        <v>#NAME?</v>
      </c>
    </row>
    <row r="20" spans="1:36" x14ac:dyDescent="0.35">
      <c r="A20" s="2">
        <v>12</v>
      </c>
      <c r="B20" s="2">
        <v>30</v>
      </c>
      <c r="C20" s="2">
        <v>1</v>
      </c>
      <c r="D20" s="2">
        <v>0</v>
      </c>
      <c r="N20" t="s">
        <v>41</v>
      </c>
      <c r="O20" s="11">
        <v>0.05</v>
      </c>
      <c r="X20" s="9">
        <f t="shared" si="0"/>
        <v>13</v>
      </c>
      <c r="Y20">
        <f t="shared" si="1"/>
        <v>19.680879983100759</v>
      </c>
      <c r="Z20">
        <f t="shared" si="2"/>
        <v>-6.680879983100759</v>
      </c>
      <c r="AA20">
        <f t="shared" si="3"/>
        <v>-1.5059530246388249</v>
      </c>
      <c r="AB20">
        <f t="shared" si="4"/>
        <v>-1.606115040919003</v>
      </c>
      <c r="AC20" t="e">
        <f t="shared" ca="1" si="5"/>
        <v>#NAME?</v>
      </c>
      <c r="AD20" t="e">
        <f t="shared" ca="1" si="6"/>
        <v>#NAME?</v>
      </c>
      <c r="AE20" s="6" t="e">
        <f ca="1"/>
        <v>#NAME?</v>
      </c>
      <c r="AF20" t="e">
        <f t="shared" ca="1" si="7"/>
        <v>#NAME?</v>
      </c>
      <c r="AG20" s="9">
        <f t="shared" si="8"/>
        <v>19.680879983100759</v>
      </c>
      <c r="AH20" t="e">
        <f t="array" aca="1" ref="AH20" ca="1">AG20*SQRT(MMULT(MMULT(DEsign(B18:D18),$R$4:$U$7),TRANSPOSE(DEsign(B18:D18))))</f>
        <v>#NAME?</v>
      </c>
      <c r="AI20" t="e">
        <f t="shared" ca="1" si="9"/>
        <v>#NAME?</v>
      </c>
      <c r="AJ20" s="6" t="e">
        <f t="shared" ca="1" si="10"/>
        <v>#NAME?</v>
      </c>
    </row>
    <row r="21" spans="1:36" x14ac:dyDescent="0.35">
      <c r="A21" s="1">
        <v>8</v>
      </c>
      <c r="B21" s="1">
        <v>32</v>
      </c>
      <c r="C21" s="1">
        <v>1</v>
      </c>
      <c r="D21" s="1">
        <v>1</v>
      </c>
      <c r="N21" t="s">
        <v>42</v>
      </c>
      <c r="O21" s="14">
        <f>_xlfn.NORM.S.INV(1-O20/2)</f>
        <v>1.9599639845400536</v>
      </c>
      <c r="X21" s="9">
        <f t="shared" si="0"/>
        <v>7</v>
      </c>
      <c r="Y21">
        <f t="shared" si="1"/>
        <v>7.2699339236479217</v>
      </c>
      <c r="Z21">
        <f t="shared" si="2"/>
        <v>-0.26993392364792168</v>
      </c>
      <c r="AA21">
        <f t="shared" si="3"/>
        <v>-0.10033294529855746</v>
      </c>
      <c r="AB21">
        <f t="shared" si="4"/>
        <v>-0.10074273029360316</v>
      </c>
      <c r="AC21" t="e">
        <f t="shared" ca="1" si="5"/>
        <v>#NAME?</v>
      </c>
      <c r="AD21" t="e">
        <f t="shared" ca="1" si="6"/>
        <v>#NAME?</v>
      </c>
      <c r="AE21" s="6" t="e">
        <f ca="1"/>
        <v>#NAME?</v>
      </c>
      <c r="AF21" t="e">
        <f t="shared" ca="1" si="7"/>
        <v>#NAME?</v>
      </c>
      <c r="AG21" s="9">
        <f t="shared" si="8"/>
        <v>7.2699339236479217</v>
      </c>
      <c r="AH21" t="e">
        <f t="array" aca="1" ref="AH21" ca="1">AG21*SQRT(MMULT(MMULT(DEsign(B19:D19),$R$4:$U$7),TRANSPOSE(DEsign(B19:D19))))</f>
        <v>#NAME?</v>
      </c>
      <c r="AI21" t="e">
        <f t="shared" ca="1" si="9"/>
        <v>#NAME?</v>
      </c>
      <c r="AJ21" s="6" t="e">
        <f t="shared" ca="1" si="10"/>
        <v>#NAME?</v>
      </c>
    </row>
    <row r="22" spans="1:36" x14ac:dyDescent="0.35">
      <c r="X22" s="9">
        <f t="shared" si="0"/>
        <v>12</v>
      </c>
      <c r="Y22">
        <f t="shared" si="1"/>
        <v>4.5225625333656794</v>
      </c>
      <c r="Z22">
        <f t="shared" si="2"/>
        <v>7.4774374666343206</v>
      </c>
      <c r="AA22">
        <f t="shared" si="3"/>
        <v>3.5871499885783278</v>
      </c>
      <c r="AB22">
        <f t="shared" si="4"/>
        <v>2.9094663244345362</v>
      </c>
      <c r="AC22" t="e">
        <f t="shared" ca="1" si="5"/>
        <v>#NAME?</v>
      </c>
      <c r="AD22" t="e">
        <f t="shared" ca="1" si="6"/>
        <v>#NAME?</v>
      </c>
      <c r="AE22" s="6" t="e">
        <f ca="1"/>
        <v>#NAME?</v>
      </c>
      <c r="AF22" t="e">
        <f t="shared" ca="1" si="7"/>
        <v>#NAME?</v>
      </c>
      <c r="AG22" s="9">
        <f t="shared" si="8"/>
        <v>4.5225625333656794</v>
      </c>
      <c r="AH22" t="e">
        <f t="array" aca="1" ref="AH22" ca="1">AG22*SQRT(MMULT(MMULT(DEsign(B20:D20),$R$4:$U$7),TRANSPOSE(DEsign(B20:D20))))</f>
        <v>#NAME?</v>
      </c>
      <c r="AI22" t="e">
        <f t="shared" ca="1" si="9"/>
        <v>#NAME?</v>
      </c>
      <c r="AJ22" s="6" t="e">
        <f t="shared" ca="1" si="10"/>
        <v>#NAME?</v>
      </c>
    </row>
    <row r="23" spans="1:36" x14ac:dyDescent="0.35">
      <c r="X23" s="10">
        <f t="shared" si="0"/>
        <v>8</v>
      </c>
      <c r="Y23" s="7">
        <f t="shared" si="1"/>
        <v>6.850302785947453</v>
      </c>
      <c r="Z23" s="7">
        <f t="shared" si="2"/>
        <v>1.149697214052547</v>
      </c>
      <c r="AA23" s="7">
        <f t="shared" si="3"/>
        <v>0.44063744441248232</v>
      </c>
      <c r="AB23" s="7">
        <f t="shared" si="4"/>
        <v>0.42776697016824389</v>
      </c>
      <c r="AC23" s="7" t="e">
        <f t="shared" ca="1" si="5"/>
        <v>#NAME?</v>
      </c>
      <c r="AD23" s="7" t="e">
        <f t="shared" ca="1" si="6"/>
        <v>#NAME?</v>
      </c>
      <c r="AE23" s="8" t="e">
        <f ca="1"/>
        <v>#NAME?</v>
      </c>
      <c r="AF23" t="e">
        <f t="shared" ca="1" si="7"/>
        <v>#NAME?</v>
      </c>
      <c r="AG23" s="10">
        <f t="shared" si="8"/>
        <v>6.850302785947453</v>
      </c>
      <c r="AH23" s="7" t="e">
        <f t="array" aca="1" ref="AH23" ca="1">AG23*SQRT(MMULT(MMULT(DEsign(B21:D21),$R$4:$U$7),TRANSPOSE(DEsign(B21:D21))))</f>
        <v>#NAME?</v>
      </c>
      <c r="AI23" s="7" t="e">
        <f t="shared" ca="1" si="9"/>
        <v>#NAME?</v>
      </c>
      <c r="AJ23" s="8" t="e">
        <f t="shared" ca="1" si="10"/>
        <v>#NAME?</v>
      </c>
    </row>
    <row r="24" spans="1:36" x14ac:dyDescent="0.35">
      <c r="X24">
        <f>SUM(X4:X23)</f>
        <v>184</v>
      </c>
      <c r="Y24">
        <f t="shared" ref="Y24:Z24" si="11">SUM(Y4:Y23)</f>
        <v>183.53874716952544</v>
      </c>
      <c r="Z24">
        <f t="shared" si="11"/>
        <v>0.46125283047458954</v>
      </c>
      <c r="AE24">
        <f>2*O8/O7</f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ZTP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2025-09-18T08:18:49Z</dcterms:created>
  <dcterms:modified xsi:type="dcterms:W3CDTF">2025-09-18T08:21:49Z</dcterms:modified>
</cp:coreProperties>
</file>