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9C2868A7-F37B-4024-B231-D69A0D2D6582}" xr6:coauthVersionLast="47" xr6:coauthVersionMax="47" xr10:uidLastSave="{59124ACE-CBAF-4117-AD56-BF889045184D}"/>
  <bookViews>
    <workbookView xWindow="-110" yWindow="-110" windowWidth="19420" windowHeight="10300" xr2:uid="{38E71F67-5C43-4C6D-A3C8-CE38A1FA1019}"/>
  </bookViews>
  <sheets>
    <sheet name="Title" sheetId="4" r:id="rId1"/>
    <sheet name="NB Solver" sheetId="1" r:id="rId2"/>
    <sheet name="Cov" sheetId="2" r:id="rId3"/>
    <sheet name="SE Alpha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B12" i="3"/>
  <c r="B11" i="3"/>
  <c r="C10" i="3"/>
  <c r="B10" i="3"/>
  <c r="B9" i="3"/>
  <c r="B8" i="3"/>
  <c r="C7" i="3"/>
  <c r="B7" i="3"/>
  <c r="C6" i="3"/>
  <c r="B6" i="3"/>
  <c r="B5" i="3"/>
  <c r="C4" i="3"/>
  <c r="B4" i="3"/>
  <c r="B3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B2" i="3"/>
  <c r="I10" i="2"/>
  <c r="M9" i="2"/>
  <c r="N9" i="2" s="1"/>
  <c r="I9" i="2"/>
  <c r="A7" i="2"/>
  <c r="A8" i="2" s="1"/>
  <c r="A9" i="2" s="1"/>
  <c r="A10" i="2" s="1"/>
  <c r="A11" i="2" s="1"/>
  <c r="A12" i="2" s="1"/>
  <c r="A13" i="2" s="1"/>
  <c r="N6" i="2"/>
  <c r="M6" i="2"/>
  <c r="L4" i="2"/>
  <c r="L5" i="2" s="1"/>
  <c r="L6" i="2" s="1"/>
  <c r="L7" i="2" s="1"/>
  <c r="L8" i="2" s="1"/>
  <c r="L9" i="2" s="1"/>
  <c r="L10" i="2" s="1"/>
  <c r="L11" i="2" s="1"/>
  <c r="L12" i="2" s="1"/>
  <c r="L13" i="2" s="1"/>
  <c r="A4" i="2"/>
  <c r="A5" i="2" s="1"/>
  <c r="A6" i="2" s="1"/>
  <c r="L3" i="2"/>
  <c r="H3" i="2" a="1"/>
  <c r="H3" i="2" s="1"/>
  <c r="A3" i="2"/>
  <c r="M13" i="1"/>
  <c r="C13" i="3" s="1"/>
  <c r="M13" i="1" a="1"/>
  <c r="M12" i="1" a="1"/>
  <c r="M12" i="1" s="1"/>
  <c r="O11" i="1"/>
  <c r="M11" i="1"/>
  <c r="C11" i="3" s="1"/>
  <c r="M11" i="1" a="1"/>
  <c r="M10" i="1" a="1"/>
  <c r="M10" i="1" s="1"/>
  <c r="M10" i="2" s="1"/>
  <c r="N10" i="2" s="1"/>
  <c r="L10" i="1"/>
  <c r="L11" i="1" s="1"/>
  <c r="L12" i="1" s="1"/>
  <c r="L13" i="1" s="1"/>
  <c r="J10" i="1"/>
  <c r="A10" i="1"/>
  <c r="A11" i="1" s="1"/>
  <c r="A12" i="1" s="1"/>
  <c r="A13" i="1" s="1"/>
  <c r="M9" i="1" a="1"/>
  <c r="M9" i="1" s="1"/>
  <c r="C9" i="3" s="1"/>
  <c r="J9" i="1"/>
  <c r="M8" i="1"/>
  <c r="M8" i="1" a="1"/>
  <c r="M7" i="1" a="1"/>
  <c r="M7" i="1" s="1"/>
  <c r="M7" i="2" s="1"/>
  <c r="N7" i="2" s="1"/>
  <c r="A7" i="1"/>
  <c r="A8" i="1" s="1"/>
  <c r="A9" i="1" s="1"/>
  <c r="O6" i="1"/>
  <c r="M6" i="1"/>
  <c r="M6" i="1" a="1"/>
  <c r="M5" i="1" a="1"/>
  <c r="M5" i="1" s="1"/>
  <c r="L5" i="1"/>
  <c r="L6" i="1" s="1"/>
  <c r="L7" i="1" s="1"/>
  <c r="L8" i="1" s="1"/>
  <c r="L9" i="1" s="1"/>
  <c r="A5" i="1"/>
  <c r="A6" i="1" s="1"/>
  <c r="M4" i="1" a="1"/>
  <c r="M4" i="1" s="1"/>
  <c r="M4" i="2" s="1"/>
  <c r="N4" i="2" s="1"/>
  <c r="L4" i="1"/>
  <c r="A4" i="1"/>
  <c r="M3" i="1" a="1"/>
  <c r="M3" i="1" s="1"/>
  <c r="L3" i="1"/>
  <c r="I3" i="1"/>
  <c r="I3" i="1" a="1"/>
  <c r="A3" i="1"/>
  <c r="M2" i="1" a="1"/>
  <c r="M2" i="1" s="1"/>
  <c r="E13" i="3" a="1"/>
  <c r="E3" i="3" a="1"/>
  <c r="E8" i="3" a="1"/>
  <c r="E7" i="3" a="1"/>
  <c r="J2" i="2" a="1"/>
  <c r="E12" i="3" a="1"/>
  <c r="E11" i="3" a="1"/>
  <c r="E4" i="3" a="1"/>
  <c r="E9" i="3" a="1"/>
  <c r="E2" i="3" a="1"/>
  <c r="E6" i="3" a="1"/>
  <c r="E5" i="3" a="1"/>
  <c r="E10" i="3" a="1"/>
  <c r="E10" i="3" l="1"/>
  <c r="E5" i="3"/>
  <c r="E6" i="3"/>
  <c r="E2" i="3"/>
  <c r="E9" i="3"/>
  <c r="E4" i="3"/>
  <c r="E11" i="3"/>
  <c r="E12" i="3"/>
  <c r="J6" i="2"/>
  <c r="J5" i="2"/>
  <c r="J3" i="2"/>
  <c r="J2" i="2"/>
  <c r="J4" i="2"/>
  <c r="E7" i="3"/>
  <c r="E8" i="3"/>
  <c r="E3" i="3"/>
  <c r="E13" i="3"/>
  <c r="M3" i="2"/>
  <c r="N3" i="2" s="1"/>
  <c r="C3" i="3"/>
  <c r="O3" i="1"/>
  <c r="P9" i="1"/>
  <c r="N6" i="1"/>
  <c r="P4" i="1"/>
  <c r="N7" i="1"/>
  <c r="P5" i="1"/>
  <c r="N2" i="1"/>
  <c r="N5" i="1"/>
  <c r="P3" i="1"/>
  <c r="P12" i="1"/>
  <c r="N9" i="1"/>
  <c r="N4" i="1"/>
  <c r="N12" i="1"/>
  <c r="P7" i="1"/>
  <c r="P10" i="1"/>
  <c r="P2" i="1"/>
  <c r="P13" i="1"/>
  <c r="N10" i="1"/>
  <c r="N13" i="1"/>
  <c r="P8" i="1"/>
  <c r="P6" i="1"/>
  <c r="N3" i="1"/>
  <c r="C8" i="3"/>
  <c r="M8" i="2"/>
  <c r="N8" i="2" s="1"/>
  <c r="N8" i="1"/>
  <c r="P11" i="1"/>
  <c r="O8" i="1"/>
  <c r="C12" i="3"/>
  <c r="M12" i="2"/>
  <c r="N12" i="2" s="1"/>
  <c r="M2" i="2"/>
  <c r="N2" i="2" s="1"/>
  <c r="C2" i="3"/>
  <c r="O10" i="1"/>
  <c r="M13" i="2"/>
  <c r="N13" i="2" s="1"/>
  <c r="O13" i="1"/>
  <c r="N11" i="1"/>
  <c r="G4" i="3"/>
  <c r="D4" i="3"/>
  <c r="C5" i="3"/>
  <c r="M5" i="2"/>
  <c r="N5" i="2" s="1"/>
  <c r="O5" i="1"/>
  <c r="O2" i="1"/>
  <c r="O7" i="1"/>
  <c r="O12" i="1"/>
  <c r="M11" i="2"/>
  <c r="N11" i="2" s="1"/>
  <c r="C15" i="3"/>
  <c r="C16" i="3" s="1"/>
  <c r="O4" i="1"/>
  <c r="O9" i="1"/>
  <c r="F6" i="3" l="1"/>
  <c r="F4" i="3"/>
  <c r="F8" i="3"/>
  <c r="F11" i="3"/>
  <c r="F2" i="3"/>
  <c r="N14" i="1"/>
  <c r="G11" i="3"/>
  <c r="D11" i="3"/>
  <c r="D6" i="3"/>
  <c r="G6" i="3"/>
  <c r="G8" i="3"/>
  <c r="D8" i="3"/>
  <c r="O14" i="1"/>
  <c r="G9" i="3"/>
  <c r="D7" i="3"/>
  <c r="F7" i="3" s="1"/>
  <c r="D13" i="3"/>
  <c r="F13" i="3" s="1"/>
  <c r="D9" i="3"/>
  <c r="F9" i="3" s="1"/>
  <c r="D2" i="3"/>
  <c r="G2" i="3"/>
  <c r="G12" i="3"/>
  <c r="D12" i="3"/>
  <c r="F12" i="3" s="1"/>
  <c r="P2" i="2" a="1"/>
  <c r="P2" i="2" s="1"/>
  <c r="D10" i="3"/>
  <c r="F10" i="3" s="1"/>
  <c r="G3" i="3"/>
  <c r="D3" i="3"/>
  <c r="F3" i="3" s="1"/>
  <c r="P14" i="1"/>
  <c r="G7" i="3"/>
  <c r="G13" i="3"/>
  <c r="D5" i="3"/>
  <c r="F5" i="3" s="1"/>
  <c r="G5" i="3"/>
  <c r="G10" i="3"/>
  <c r="F14" i="3" l="1"/>
  <c r="F16" i="3" s="1"/>
  <c r="G14" i="3"/>
  <c r="J12" i="1"/>
  <c r="I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<sst xmlns="http://schemas.openxmlformats.org/spreadsheetml/2006/main" count="43" uniqueCount="29">
  <si>
    <t>Survived</t>
  </si>
  <si>
    <t>Cases</t>
  </si>
  <si>
    <t>Age</t>
  </si>
  <si>
    <t>Sex</t>
  </si>
  <si>
    <t>Class2</t>
  </si>
  <si>
    <t>Class3</t>
  </si>
  <si>
    <t>mu</t>
  </si>
  <si>
    <r>
      <t xml:space="preserve">ln </t>
    </r>
    <r>
      <rPr>
        <sz val="11"/>
        <color theme="1"/>
        <rFont val="Aptos Narrow"/>
        <family val="2"/>
      </rPr>
      <t>Γ</t>
    </r>
  </si>
  <si>
    <r>
      <t>yln(</t>
    </r>
    <r>
      <rPr>
        <sz val="11"/>
        <color theme="1"/>
        <rFont val="Aptos Narrow"/>
        <family val="2"/>
      </rPr>
      <t>αμ)</t>
    </r>
  </si>
  <si>
    <r>
      <t>(y+</t>
    </r>
    <r>
      <rPr>
        <sz val="11"/>
        <color theme="1"/>
        <rFont val="Aptos Narrow"/>
        <family val="2"/>
      </rPr>
      <t>ν)</t>
    </r>
    <r>
      <rPr>
        <sz val="11"/>
        <color theme="1"/>
        <rFont val="Aptos Narrow"/>
        <family val="2"/>
        <scheme val="minor"/>
      </rPr>
      <t>ln(1+</t>
    </r>
    <r>
      <rPr>
        <sz val="11"/>
        <color theme="1"/>
        <rFont val="Aptos Narrow"/>
        <family val="2"/>
      </rPr>
      <t>αμ)</t>
    </r>
  </si>
  <si>
    <t>Intercept</t>
  </si>
  <si>
    <r>
      <t>ln</t>
    </r>
    <r>
      <rPr>
        <sz val="11"/>
        <color theme="1"/>
        <rFont val="Aptos Narrow"/>
        <family val="2"/>
      </rPr>
      <t>α</t>
    </r>
  </si>
  <si>
    <t>α</t>
  </si>
  <si>
    <t>ν</t>
  </si>
  <si>
    <t>LL</t>
  </si>
  <si>
    <t>coeff</t>
  </si>
  <si>
    <t>s.e.</t>
  </si>
  <si>
    <t>μ</t>
  </si>
  <si>
    <t>μ/(1+αμ)</t>
  </si>
  <si>
    <t>Covariance Matrix</t>
  </si>
  <si>
    <t>y</t>
  </si>
  <si>
    <t>term 1a</t>
  </si>
  <si>
    <t>term 1b</t>
  </si>
  <si>
    <t>term 1</t>
  </si>
  <si>
    <t>term 2</t>
  </si>
  <si>
    <t>Real Statistics Using Excel</t>
  </si>
  <si>
    <t>Updated</t>
  </si>
  <si>
    <t>Copyright © 2013 - 2025 Charles Zaiontz</t>
  </si>
  <si>
    <t>Creating a Negative Binomial Regression model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</si>
</sst>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.xlam" TargetMode="External"/><Relationship Id="rId1" Type="http://schemas.openxmlformats.org/officeDocument/2006/relationships/externalLinkPath" Target="file:///C:\Users\Charles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DIAG"/>
      <definedName name="SE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E069-0C78-4B17-A3D2-5679D4383AD7}">
  <sheetPr codeName="Sheet3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25</v>
      </c>
    </row>
    <row r="2" spans="1:13" x14ac:dyDescent="0.35">
      <c r="A2" t="s">
        <v>28</v>
      </c>
    </row>
    <row r="4" spans="1:13" x14ac:dyDescent="0.35">
      <c r="A4" t="s">
        <v>26</v>
      </c>
      <c r="B4" s="19">
        <v>45921</v>
      </c>
    </row>
    <row r="6" spans="1:13" x14ac:dyDescent="0.35">
      <c r="A6" s="20" t="s">
        <v>27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7D12-DC8B-4764-B553-0C12F786762A}">
  <sheetPr codeName="Sheet1"/>
  <dimension ref="A1:P14"/>
  <sheetViews>
    <sheetView workbookViewId="0"/>
  </sheetViews>
  <sheetFormatPr defaultRowHeight="14.5" x14ac:dyDescent="0.35"/>
  <cols>
    <col min="1" max="1" width="3.54296875" customWidth="1"/>
    <col min="11" max="11" width="3.26953125" customWidth="1"/>
    <col min="12" max="12" width="3.90625" customWidth="1"/>
    <col min="14" max="16" width="11.36328125" customWidth="1"/>
  </cols>
  <sheetData>
    <row r="1" spans="1:1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M1" s="2" t="s">
        <v>6</v>
      </c>
      <c r="N1" s="2" t="s">
        <v>7</v>
      </c>
      <c r="O1" s="2" t="s">
        <v>8</v>
      </c>
      <c r="P1" s="2" t="s">
        <v>9</v>
      </c>
    </row>
    <row r="2" spans="1:16" x14ac:dyDescent="0.35">
      <c r="A2">
        <v>1</v>
      </c>
      <c r="B2">
        <v>14</v>
      </c>
      <c r="C2">
        <v>31</v>
      </c>
      <c r="D2">
        <v>0</v>
      </c>
      <c r="E2">
        <v>0</v>
      </c>
      <c r="F2">
        <v>0</v>
      </c>
      <c r="G2">
        <v>1</v>
      </c>
      <c r="I2" t="s">
        <v>10</v>
      </c>
      <c r="J2" s="3">
        <v>0.6133755145660249</v>
      </c>
      <c r="L2">
        <v>1</v>
      </c>
      <c r="M2" cm="1">
        <f t="array" ref="M2">C2*EXP(J$2+MMULT(D2:G2,J$3:J$6))</f>
        <v>23.110743846121284</v>
      </c>
      <c r="N2">
        <f t="shared" ref="N2:N13" si="0">GAMMALN(B2+J$10)-GAMMALN(J$10)-GAMMALN(B2+1)</f>
        <v>13.257759157984946</v>
      </c>
      <c r="O2">
        <f t="shared" ref="O2:O13" si="1">B2*LN(J$9*M2)</f>
        <v>12.28167593697478</v>
      </c>
      <c r="P2">
        <f t="shared" ref="P2:P13" si="2">(B2+J$10)*LN(1+J$9*M2)</f>
        <v>28.925959267709842</v>
      </c>
    </row>
    <row r="3" spans="1:16" x14ac:dyDescent="0.35">
      <c r="A3">
        <f>A2+1</f>
        <v>2</v>
      </c>
      <c r="B3">
        <v>13</v>
      </c>
      <c r="C3">
        <v>13</v>
      </c>
      <c r="D3">
        <v>0</v>
      </c>
      <c r="E3">
        <v>0</v>
      </c>
      <c r="F3">
        <v>1</v>
      </c>
      <c r="G3">
        <v>0</v>
      </c>
      <c r="I3" t="str" cm="1">
        <f t="array" ref="I3:I6">TRANSPOSE(D1:G1)</f>
        <v>Age</v>
      </c>
      <c r="J3" s="4">
        <v>-0.67003497955244107</v>
      </c>
      <c r="L3">
        <f>L2+1</f>
        <v>2</v>
      </c>
      <c r="M3" cm="1">
        <f t="array" ref="M3">C3*EXP(J$2+MMULT(D3:G3,J$3:J$6))</f>
        <v>16.505792230005202</v>
      </c>
      <c r="N3">
        <f t="shared" si="0"/>
        <v>12.778326088194657</v>
      </c>
      <c r="O3">
        <f t="shared" si="1"/>
        <v>7.0287921536195732</v>
      </c>
      <c r="P3">
        <f t="shared" si="2"/>
        <v>22.602949619666543</v>
      </c>
    </row>
    <row r="4" spans="1:16" x14ac:dyDescent="0.35">
      <c r="A4">
        <f t="shared" ref="A4:A13" si="3">A3+1</f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I4" t="str">
        <v>Sex</v>
      </c>
      <c r="J4" s="4">
        <v>-0.98015044832590448</v>
      </c>
      <c r="L4">
        <f t="shared" ref="L4:L13" si="4">L3+1</f>
        <v>3</v>
      </c>
      <c r="M4" cm="1">
        <f t="array" ref="M4">C4*EXP(J$2+MMULT(D4:G4,J$3:J$6))</f>
        <v>1.8466542986118109</v>
      </c>
      <c r="N4">
        <f t="shared" si="0"/>
        <v>2.2630350440384657</v>
      </c>
      <c r="O4">
        <f t="shared" si="1"/>
        <v>-1.6496595294724377</v>
      </c>
      <c r="P4">
        <f t="shared" si="2"/>
        <v>1.8648776988444358</v>
      </c>
    </row>
    <row r="5" spans="1:16" x14ac:dyDescent="0.35">
      <c r="A5">
        <f t="shared" si="3"/>
        <v>4</v>
      </c>
      <c r="B5">
        <v>13</v>
      </c>
      <c r="C5">
        <v>48</v>
      </c>
      <c r="D5">
        <v>0</v>
      </c>
      <c r="E5">
        <v>1</v>
      </c>
      <c r="F5">
        <v>0</v>
      </c>
      <c r="G5">
        <v>1</v>
      </c>
      <c r="I5" t="str">
        <v>Class2</v>
      </c>
      <c r="J5" s="4">
        <v>-0.37461350847990116</v>
      </c>
      <c r="L5">
        <f t="shared" si="4"/>
        <v>4</v>
      </c>
      <c r="M5" cm="1">
        <f t="array" ref="M5">C5*EXP(J$2+MMULT(D5:G5,J$3:J$6))</f>
        <v>13.42825365656762</v>
      </c>
      <c r="N5">
        <f t="shared" si="0"/>
        <v>12.778326088194657</v>
      </c>
      <c r="O5">
        <f t="shared" si="1"/>
        <v>4.3462370253069311</v>
      </c>
      <c r="P5">
        <f t="shared" si="2"/>
        <v>19.767992153758204</v>
      </c>
    </row>
    <row r="6" spans="1:16" x14ac:dyDescent="0.35">
      <c r="A6">
        <f t="shared" si="3"/>
        <v>5</v>
      </c>
      <c r="B6">
        <v>11</v>
      </c>
      <c r="C6">
        <v>11</v>
      </c>
      <c r="D6">
        <v>0</v>
      </c>
      <c r="E6">
        <v>1</v>
      </c>
      <c r="F6">
        <v>1</v>
      </c>
      <c r="G6">
        <v>0</v>
      </c>
      <c r="I6" t="str">
        <v>Class3</v>
      </c>
      <c r="J6" s="4">
        <v>-0.90706510808593854</v>
      </c>
      <c r="L6">
        <f t="shared" si="4"/>
        <v>5</v>
      </c>
      <c r="M6" cm="1">
        <f t="array" ref="M6">C6*EXP(J$2+MMULT(D6:G6,J$3:J$6))</f>
        <v>5.2409712308597571</v>
      </c>
      <c r="N6">
        <f t="shared" si="0"/>
        <v>11.729039243441729</v>
      </c>
      <c r="O6">
        <f t="shared" si="1"/>
        <v>-6.6718103482785986</v>
      </c>
      <c r="P6">
        <f t="shared" si="2"/>
        <v>8.970016797736152</v>
      </c>
    </row>
    <row r="7" spans="1:16" x14ac:dyDescent="0.35">
      <c r="A7">
        <f t="shared" si="3"/>
        <v>6</v>
      </c>
      <c r="B7">
        <v>5</v>
      </c>
      <c r="C7">
        <v>5</v>
      </c>
      <c r="D7">
        <v>0</v>
      </c>
      <c r="E7">
        <v>1</v>
      </c>
      <c r="F7">
        <v>0</v>
      </c>
      <c r="G7">
        <v>0</v>
      </c>
      <c r="I7" t="s">
        <v>11</v>
      </c>
      <c r="J7" s="5">
        <v>-2.2630350440384626</v>
      </c>
      <c r="L7">
        <f t="shared" si="4"/>
        <v>6</v>
      </c>
      <c r="M7" cm="1">
        <f t="array" ref="M7">C7*EXP(J$2+MMULT(D7:G7,J$3:J$6))</f>
        <v>3.4648279532735442</v>
      </c>
      <c r="N7">
        <f t="shared" si="0"/>
        <v>7.4352410469072501</v>
      </c>
      <c r="O7">
        <f t="shared" si="1"/>
        <v>-5.1018603268212095</v>
      </c>
      <c r="P7">
        <f t="shared" si="2"/>
        <v>4.4979837290905547</v>
      </c>
    </row>
    <row r="8" spans="1:16" x14ac:dyDescent="0.35">
      <c r="A8">
        <f t="shared" si="3"/>
        <v>7</v>
      </c>
      <c r="B8">
        <v>76</v>
      </c>
      <c r="C8">
        <v>165</v>
      </c>
      <c r="D8">
        <v>1</v>
      </c>
      <c r="E8">
        <v>0</v>
      </c>
      <c r="F8">
        <v>0</v>
      </c>
      <c r="G8">
        <v>1</v>
      </c>
      <c r="L8">
        <f t="shared" si="4"/>
        <v>7</v>
      </c>
      <c r="M8" cm="1">
        <f t="array" ref="M8">C8*EXP(J$2+MMULT(D8:G8,J$3:J$6))</f>
        <v>62.94245528643134</v>
      </c>
      <c r="N8">
        <f t="shared" si="0"/>
        <v>25.884635541429873</v>
      </c>
      <c r="O8">
        <f t="shared" si="1"/>
        <v>142.818125116022</v>
      </c>
      <c r="P8">
        <f t="shared" si="2"/>
        <v>173.04843551935136</v>
      </c>
    </row>
    <row r="9" spans="1:16" x14ac:dyDescent="0.35">
      <c r="A9">
        <f t="shared" si="3"/>
        <v>8</v>
      </c>
      <c r="B9">
        <v>80</v>
      </c>
      <c r="C9">
        <v>93</v>
      </c>
      <c r="D9">
        <v>1</v>
      </c>
      <c r="E9">
        <v>0</v>
      </c>
      <c r="F9">
        <v>1</v>
      </c>
      <c r="G9">
        <v>0</v>
      </c>
      <c r="I9" s="6" t="s">
        <v>12</v>
      </c>
      <c r="J9" s="3">
        <f>EXP(J7)</f>
        <v>0.10403425656408627</v>
      </c>
      <c r="L9">
        <f t="shared" si="4"/>
        <v>8</v>
      </c>
      <c r="M9" cm="1">
        <f t="array" ref="M9">C9*EXP(J$2+MMULT(D9:G9,J$3:J$6))</f>
        <v>60.420383289286441</v>
      </c>
      <c r="N9">
        <f t="shared" si="0"/>
        <v>26.30110593580298</v>
      </c>
      <c r="O9">
        <f t="shared" si="1"/>
        <v>147.06331805187807</v>
      </c>
      <c r="P9">
        <f t="shared" si="2"/>
        <v>177.96321917697708</v>
      </c>
    </row>
    <row r="10" spans="1:16" x14ac:dyDescent="0.35">
      <c r="A10">
        <f t="shared" si="3"/>
        <v>9</v>
      </c>
      <c r="B10">
        <v>140</v>
      </c>
      <c r="C10">
        <v>144</v>
      </c>
      <c r="D10">
        <v>1</v>
      </c>
      <c r="E10">
        <v>0</v>
      </c>
      <c r="F10">
        <v>0</v>
      </c>
      <c r="G10">
        <v>0</v>
      </c>
      <c r="I10" s="6" t="s">
        <v>13</v>
      </c>
      <c r="J10" s="5">
        <f>1/J9</f>
        <v>9.612218446372891</v>
      </c>
      <c r="L10">
        <f t="shared" si="4"/>
        <v>9</v>
      </c>
      <c r="M10" cm="1">
        <f t="array" ref="M10">C10*EXP(J$2+MMULT(D10:G10,J$3:J$6))</f>
        <v>136.06787397549343</v>
      </c>
      <c r="N10">
        <f t="shared" si="0"/>
        <v>30.911285706041667</v>
      </c>
      <c r="O10">
        <f t="shared" si="1"/>
        <v>371.01663067715708</v>
      </c>
      <c r="P10">
        <f t="shared" si="2"/>
        <v>406.70256701546134</v>
      </c>
    </row>
    <row r="11" spans="1:16" x14ac:dyDescent="0.35">
      <c r="A11">
        <f t="shared" si="3"/>
        <v>10</v>
      </c>
      <c r="B11">
        <v>75</v>
      </c>
      <c r="C11">
        <v>462</v>
      </c>
      <c r="D11">
        <v>1</v>
      </c>
      <c r="E11">
        <v>1</v>
      </c>
      <c r="F11">
        <v>0</v>
      </c>
      <c r="G11">
        <v>1</v>
      </c>
      <c r="L11">
        <f t="shared" si="4"/>
        <v>10</v>
      </c>
      <c r="M11" cm="1">
        <f t="array" ref="M11">C11*EXP(J$2+MMULT(D11:G11,J$3:J$6))</f>
        <v>66.134455195702671</v>
      </c>
      <c r="N11">
        <f t="shared" si="0"/>
        <v>25.777290199452324</v>
      </c>
      <c r="O11">
        <f t="shared" si="1"/>
        <v>144.64911192337624</v>
      </c>
      <c r="P11">
        <f t="shared" si="2"/>
        <v>174.67003587189438</v>
      </c>
    </row>
    <row r="12" spans="1:16" x14ac:dyDescent="0.35">
      <c r="A12">
        <f t="shared" si="3"/>
        <v>11</v>
      </c>
      <c r="B12">
        <v>14</v>
      </c>
      <c r="C12">
        <v>168</v>
      </c>
      <c r="D12">
        <v>1</v>
      </c>
      <c r="E12">
        <v>1</v>
      </c>
      <c r="F12">
        <v>1</v>
      </c>
      <c r="G12">
        <v>0</v>
      </c>
      <c r="I12" t="s">
        <v>14</v>
      </c>
      <c r="J12" s="7">
        <f>N14+O14-P14</f>
        <v>-43.716828423808238</v>
      </c>
      <c r="L12">
        <f t="shared" si="4"/>
        <v>11</v>
      </c>
      <c r="M12" cm="1">
        <f t="array" ref="M12">C12*EXP(J$2+MMULT(D12:G12,J$3:J$6))</f>
        <v>40.9577299319037</v>
      </c>
      <c r="N12">
        <f t="shared" si="0"/>
        <v>13.257759157984946</v>
      </c>
      <c r="O12">
        <f t="shared" si="1"/>
        <v>20.293077190016046</v>
      </c>
      <c r="P12">
        <f t="shared" si="2"/>
        <v>39.203896386850666</v>
      </c>
    </row>
    <row r="13" spans="1:16" x14ac:dyDescent="0.35">
      <c r="A13">
        <f t="shared" si="3"/>
        <v>12</v>
      </c>
      <c r="B13" s="8">
        <v>57</v>
      </c>
      <c r="C13" s="8">
        <v>175</v>
      </c>
      <c r="D13" s="8">
        <v>1</v>
      </c>
      <c r="E13" s="8">
        <v>1</v>
      </c>
      <c r="F13" s="8">
        <v>0</v>
      </c>
      <c r="G13" s="8">
        <v>0</v>
      </c>
      <c r="L13">
        <f t="shared" si="4"/>
        <v>12</v>
      </c>
      <c r="M13" s="8" cm="1">
        <f t="array" ref="M13">C13*EXP(J$2+MMULT(D13:G13,J$3:J$6))</f>
        <v>62.052205852211458</v>
      </c>
      <c r="N13" s="8">
        <f t="shared" si="0"/>
        <v>23.573268596972923</v>
      </c>
      <c r="O13" s="8">
        <f t="shared" si="1"/>
        <v>106.30163794464566</v>
      </c>
      <c r="P13" s="8">
        <f t="shared" si="2"/>
        <v>133.82124280733822</v>
      </c>
    </row>
    <row r="14" spans="1:16" x14ac:dyDescent="0.35">
      <c r="N14">
        <f>SUM(N2:N13)</f>
        <v>205.94707180644642</v>
      </c>
      <c r="O14">
        <f t="shared" ref="O14:P14" si="5">SUM(O2:O13)</f>
        <v>942.37527581442407</v>
      </c>
      <c r="P14">
        <f t="shared" si="5"/>
        <v>1192.0391760446787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984E-7F0E-4096-8D25-15AB58EF4198}">
  <sheetPr codeName="Sheet2"/>
  <dimension ref="A1:T13"/>
  <sheetViews>
    <sheetView workbookViewId="0"/>
  </sheetViews>
  <sheetFormatPr defaultRowHeight="14.5" x14ac:dyDescent="0.35"/>
  <cols>
    <col min="1" max="1" width="3.54296875" customWidth="1"/>
    <col min="11" max="11" width="3.26953125" customWidth="1"/>
    <col min="12" max="12" width="3.90625" customWidth="1"/>
    <col min="15" max="15" width="5" customWidth="1"/>
  </cols>
  <sheetData>
    <row r="1" spans="1:20" x14ac:dyDescent="0.35"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I1" s="9" t="s">
        <v>15</v>
      </c>
      <c r="J1" s="9" t="s">
        <v>16</v>
      </c>
      <c r="M1" s="2" t="s">
        <v>17</v>
      </c>
      <c r="N1" s="10" t="s">
        <v>18</v>
      </c>
      <c r="P1" t="s">
        <v>19</v>
      </c>
    </row>
    <row r="2" spans="1:20" x14ac:dyDescent="0.35">
      <c r="A2">
        <v>1</v>
      </c>
      <c r="B2">
        <v>1</v>
      </c>
      <c r="C2">
        <v>0</v>
      </c>
      <c r="D2">
        <v>0</v>
      </c>
      <c r="E2">
        <v>0</v>
      </c>
      <c r="F2">
        <v>1</v>
      </c>
      <c r="H2" t="s">
        <v>10</v>
      </c>
      <c r="I2" s="3">
        <v>0.6133755145660249</v>
      </c>
      <c r="J2" s="3">
        <f t="array" ref="J2:J6">SQRT([1]!DIAG(P2:T7))</f>
        <v>0.31410310563036614</v>
      </c>
      <c r="L2">
        <v>1</v>
      </c>
      <c r="M2">
        <f>'NB Solver'!M2</f>
        <v>23.110743846121284</v>
      </c>
      <c r="N2">
        <f>M2/(1+I$9*M2)</f>
        <v>6.7886738468674759</v>
      </c>
      <c r="P2" s="11" cm="1">
        <f t="array" ref="P2:T6">MINVERSE(MMULT(TRANSPOSE(N2:N13*B2:F13),B2:F13))</f>
        <v>9.8660760966640934E-2</v>
      </c>
      <c r="Q2" s="12">
        <v>-4.8356575543258777E-2</v>
      </c>
      <c r="R2" s="12">
        <v>-2.5245315204734099E-2</v>
      </c>
      <c r="S2" s="12">
        <v>-5.7178337842059446E-2</v>
      </c>
      <c r="T2" s="13">
        <v>-5.8747266390866838E-2</v>
      </c>
    </row>
    <row r="3" spans="1:20" x14ac:dyDescent="0.35">
      <c r="A3">
        <f>A2+1</f>
        <v>2</v>
      </c>
      <c r="B3">
        <v>1</v>
      </c>
      <c r="C3">
        <v>0</v>
      </c>
      <c r="D3">
        <v>0</v>
      </c>
      <c r="E3">
        <v>1</v>
      </c>
      <c r="F3">
        <v>0</v>
      </c>
      <c r="H3" t="str" cm="1">
        <f t="array" ref="H3:H6">TRANSPOSE(C1:F1)</f>
        <v>Age</v>
      </c>
      <c r="I3" s="4">
        <v>-0.67003497955244107</v>
      </c>
      <c r="J3" s="4">
        <v>0.24717807438750802</v>
      </c>
      <c r="L3">
        <f>L2+1</f>
        <v>2</v>
      </c>
      <c r="M3">
        <f>'NB Solver'!M3</f>
        <v>16.505792230005202</v>
      </c>
      <c r="N3">
        <f t="shared" ref="N3:N13" si="0">M3/(1+I$9*M3)</f>
        <v>6.0746311237535675</v>
      </c>
      <c r="P3" s="14">
        <v>-4.8356575543258798E-2</v>
      </c>
      <c r="Q3">
        <v>6.1097000457916446E-2</v>
      </c>
      <c r="R3">
        <v>-2.0570342772436513E-3</v>
      </c>
      <c r="S3">
        <v>1.080114620731004E-2</v>
      </c>
      <c r="T3" s="15">
        <v>1.4243555207596912E-2</v>
      </c>
    </row>
    <row r="4" spans="1:20" x14ac:dyDescent="0.35">
      <c r="A4">
        <f t="shared" ref="A4:A13" si="1">A3+1</f>
        <v>3</v>
      </c>
      <c r="B4">
        <v>1</v>
      </c>
      <c r="C4">
        <v>0</v>
      </c>
      <c r="D4">
        <v>0</v>
      </c>
      <c r="E4">
        <v>0</v>
      </c>
      <c r="F4">
        <v>0</v>
      </c>
      <c r="H4" t="str">
        <v>Sex</v>
      </c>
      <c r="I4" s="4">
        <v>-0.98015044832590448</v>
      </c>
      <c r="J4" s="4">
        <v>0.23014946280152573</v>
      </c>
      <c r="L4">
        <f t="shared" ref="L4:L13" si="2">L3+1</f>
        <v>3</v>
      </c>
      <c r="M4">
        <f>'NB Solver'!M4</f>
        <v>1.8466542986118109</v>
      </c>
      <c r="N4">
        <f t="shared" si="0"/>
        <v>1.5490567796870964</v>
      </c>
      <c r="P4" s="14">
        <v>-2.5245315204734085E-2</v>
      </c>
      <c r="Q4">
        <v>-2.0570342772436639E-3</v>
      </c>
      <c r="R4">
        <v>5.2968775227830875E-2</v>
      </c>
      <c r="S4">
        <v>3.3637771829275131E-3</v>
      </c>
      <c r="T4" s="15">
        <v>9.730281365194106E-4</v>
      </c>
    </row>
    <row r="5" spans="1:20" x14ac:dyDescent="0.35">
      <c r="A5">
        <f t="shared" si="1"/>
        <v>4</v>
      </c>
      <c r="B5">
        <v>1</v>
      </c>
      <c r="C5">
        <v>0</v>
      </c>
      <c r="D5">
        <v>1</v>
      </c>
      <c r="E5">
        <v>0</v>
      </c>
      <c r="F5">
        <v>1</v>
      </c>
      <c r="H5" t="str">
        <v>Class2</v>
      </c>
      <c r="I5" s="4">
        <v>-0.37461350847990116</v>
      </c>
      <c r="J5" s="4">
        <v>0.29674175512177492</v>
      </c>
      <c r="L5">
        <f t="shared" si="2"/>
        <v>4</v>
      </c>
      <c r="M5">
        <f>'NB Solver'!M5</f>
        <v>13.42825365656762</v>
      </c>
      <c r="N5">
        <f t="shared" si="0"/>
        <v>5.602112097510382</v>
      </c>
      <c r="P5" s="14">
        <v>-5.7178337842059446E-2</v>
      </c>
      <c r="Q5">
        <v>1.0801146207310038E-2</v>
      </c>
      <c r="R5">
        <v>3.3637771829275239E-3</v>
      </c>
      <c r="S5">
        <v>8.8055669232751446E-2</v>
      </c>
      <c r="T5" s="15">
        <v>4.935638952356583E-2</v>
      </c>
    </row>
    <row r="6" spans="1:20" x14ac:dyDescent="0.35">
      <c r="A6">
        <f t="shared" si="1"/>
        <v>5</v>
      </c>
      <c r="B6">
        <v>1</v>
      </c>
      <c r="C6">
        <v>0</v>
      </c>
      <c r="D6">
        <v>1</v>
      </c>
      <c r="E6">
        <v>1</v>
      </c>
      <c r="F6">
        <v>0</v>
      </c>
      <c r="H6" t="str">
        <v>Class3</v>
      </c>
      <c r="I6" s="5">
        <v>-0.90706510808593854</v>
      </c>
      <c r="J6" s="5">
        <v>0.29057661591674883</v>
      </c>
      <c r="L6">
        <f t="shared" si="2"/>
        <v>5</v>
      </c>
      <c r="M6">
        <f>'NB Solver'!M6</f>
        <v>5.2409712308597571</v>
      </c>
      <c r="N6">
        <f t="shared" si="0"/>
        <v>3.3916863271058544</v>
      </c>
      <c r="P6" s="16">
        <v>-5.8747266390866845E-2</v>
      </c>
      <c r="Q6" s="8">
        <v>1.4243555207596912E-2</v>
      </c>
      <c r="R6" s="8">
        <v>9.7302813651941808E-4</v>
      </c>
      <c r="S6" s="8">
        <v>4.9356389523565823E-2</v>
      </c>
      <c r="T6" s="17">
        <v>8.4434769717629768E-2</v>
      </c>
    </row>
    <row r="7" spans="1:20" x14ac:dyDescent="0.35">
      <c r="A7">
        <f t="shared" si="1"/>
        <v>6</v>
      </c>
      <c r="B7">
        <v>1</v>
      </c>
      <c r="C7">
        <v>0</v>
      </c>
      <c r="D7">
        <v>1</v>
      </c>
      <c r="E7">
        <v>0</v>
      </c>
      <c r="F7">
        <v>0</v>
      </c>
      <c r="H7" t="s">
        <v>11</v>
      </c>
      <c r="I7" s="5">
        <v>-2.2630350440384626</v>
      </c>
      <c r="L7">
        <f t="shared" si="2"/>
        <v>6</v>
      </c>
      <c r="M7">
        <f>'NB Solver'!M7</f>
        <v>3.4648279532735442</v>
      </c>
      <c r="N7">
        <f t="shared" si="0"/>
        <v>2.5468046948938596</v>
      </c>
    </row>
    <row r="8" spans="1:20" x14ac:dyDescent="0.35">
      <c r="A8">
        <f t="shared" si="1"/>
        <v>7</v>
      </c>
      <c r="B8">
        <v>1</v>
      </c>
      <c r="C8">
        <v>1</v>
      </c>
      <c r="D8">
        <v>0</v>
      </c>
      <c r="E8">
        <v>0</v>
      </c>
      <c r="F8">
        <v>1</v>
      </c>
      <c r="L8">
        <f t="shared" si="2"/>
        <v>7</v>
      </c>
      <c r="M8">
        <f>'NB Solver'!M8</f>
        <v>62.94245528643134</v>
      </c>
      <c r="N8">
        <f t="shared" si="0"/>
        <v>8.33876852637116</v>
      </c>
    </row>
    <row r="9" spans="1:20" x14ac:dyDescent="0.35">
      <c r="A9">
        <f t="shared" si="1"/>
        <v>8</v>
      </c>
      <c r="B9">
        <v>1</v>
      </c>
      <c r="C9">
        <v>1</v>
      </c>
      <c r="D9">
        <v>0</v>
      </c>
      <c r="E9">
        <v>1</v>
      </c>
      <c r="F9">
        <v>0</v>
      </c>
      <c r="H9" s="6" t="s">
        <v>12</v>
      </c>
      <c r="I9" s="3">
        <f>EXP(I7)</f>
        <v>0.10403425656408627</v>
      </c>
      <c r="L9">
        <f t="shared" si="2"/>
        <v>8</v>
      </c>
      <c r="M9">
        <f>'NB Solver'!M9</f>
        <v>60.420383289286441</v>
      </c>
      <c r="N9">
        <f t="shared" si="0"/>
        <v>8.2929079942274928</v>
      </c>
    </row>
    <row r="10" spans="1:20" x14ac:dyDescent="0.35">
      <c r="A10">
        <f t="shared" si="1"/>
        <v>9</v>
      </c>
      <c r="B10">
        <v>1</v>
      </c>
      <c r="C10">
        <v>1</v>
      </c>
      <c r="D10">
        <v>0</v>
      </c>
      <c r="E10">
        <v>0</v>
      </c>
      <c r="F10">
        <v>0</v>
      </c>
      <c r="H10" s="6" t="s">
        <v>13</v>
      </c>
      <c r="I10" s="5">
        <f>1/I9</f>
        <v>9.612218446372891</v>
      </c>
      <c r="L10">
        <f t="shared" si="2"/>
        <v>9</v>
      </c>
      <c r="M10">
        <f>'NB Solver'!M10</f>
        <v>136.06787397549343</v>
      </c>
      <c r="N10">
        <f t="shared" si="0"/>
        <v>8.9779880451919869</v>
      </c>
    </row>
    <row r="11" spans="1:20" x14ac:dyDescent="0.35">
      <c r="A11">
        <f t="shared" si="1"/>
        <v>10</v>
      </c>
      <c r="B11">
        <v>1</v>
      </c>
      <c r="C11">
        <v>1</v>
      </c>
      <c r="D11">
        <v>1</v>
      </c>
      <c r="E11">
        <v>0</v>
      </c>
      <c r="F11">
        <v>1</v>
      </c>
      <c r="L11">
        <f t="shared" si="2"/>
        <v>10</v>
      </c>
      <c r="M11">
        <f>'NB Solver'!M11</f>
        <v>66.134455195702671</v>
      </c>
      <c r="N11">
        <f t="shared" si="0"/>
        <v>8.3924322957970574</v>
      </c>
    </row>
    <row r="12" spans="1:20" x14ac:dyDescent="0.35">
      <c r="A12">
        <f t="shared" si="1"/>
        <v>11</v>
      </c>
      <c r="B12">
        <v>1</v>
      </c>
      <c r="C12">
        <v>1</v>
      </c>
      <c r="D12">
        <v>1</v>
      </c>
      <c r="E12">
        <v>1</v>
      </c>
      <c r="F12">
        <v>0</v>
      </c>
      <c r="H12" t="s">
        <v>14</v>
      </c>
      <c r="I12" s="7">
        <f>'NB Solver'!J12</f>
        <v>-43.716828423808238</v>
      </c>
      <c r="L12">
        <f t="shared" si="2"/>
        <v>11</v>
      </c>
      <c r="M12">
        <f>'NB Solver'!M12</f>
        <v>40.9577299319037</v>
      </c>
      <c r="N12">
        <f t="shared" si="0"/>
        <v>7.78515026806165</v>
      </c>
    </row>
    <row r="13" spans="1:20" x14ac:dyDescent="0.35">
      <c r="A13">
        <f t="shared" si="1"/>
        <v>12</v>
      </c>
      <c r="B13" s="8">
        <v>1</v>
      </c>
      <c r="C13" s="8">
        <v>1</v>
      </c>
      <c r="D13" s="8">
        <v>1</v>
      </c>
      <c r="E13" s="8">
        <v>0</v>
      </c>
      <c r="F13" s="8">
        <v>0</v>
      </c>
      <c r="L13">
        <f t="shared" si="2"/>
        <v>12</v>
      </c>
      <c r="M13" s="8">
        <f>'NB Solver'!M13</f>
        <v>62.052205852211458</v>
      </c>
      <c r="N13" s="8">
        <f t="shared" si="0"/>
        <v>8.3229491280869361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525C-2E86-47B2-83F6-B7020F2DAB71}">
  <sheetPr codeName="Sheet4"/>
  <dimension ref="A1:G16"/>
  <sheetViews>
    <sheetView workbookViewId="0"/>
  </sheetViews>
  <sheetFormatPr defaultRowHeight="14.5" x14ac:dyDescent="0.35"/>
  <cols>
    <col min="1" max="1" width="3.90625" customWidth="1"/>
    <col min="2" max="2" width="4.54296875" customWidth="1"/>
  </cols>
  <sheetData>
    <row r="1" spans="1:7" x14ac:dyDescent="0.35">
      <c r="B1" s="2" t="s">
        <v>20</v>
      </c>
      <c r="C1" s="2" t="s">
        <v>17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 x14ac:dyDescent="0.35">
      <c r="A2">
        <v>1</v>
      </c>
      <c r="B2">
        <f>'NB Solver'!B2</f>
        <v>14</v>
      </c>
      <c r="C2">
        <f>'NB Solver'!M2</f>
        <v>23.110743846121284</v>
      </c>
      <c r="D2">
        <f>LN(1+C2*C$15)</f>
        <v>1.2250419982097531</v>
      </c>
      <c r="E2" cm="1">
        <f t="array" ref="E2">SUMPRODUCT(1/[1]!SEQ(B2,1,C$16))</f>
        <v>0.93032243145181892</v>
      </c>
      <c r="F2">
        <f>C$16^4*(D2-E2)^2</f>
        <v>741.50224134910809</v>
      </c>
      <c r="G2">
        <f>C2/(C$15^2*(1+C$15*C2))</f>
        <v>627.23777852030332</v>
      </c>
    </row>
    <row r="3" spans="1:7" x14ac:dyDescent="0.35">
      <c r="A3">
        <f>A2+1</f>
        <v>2</v>
      </c>
      <c r="B3">
        <f>'NB Solver'!B3</f>
        <v>13</v>
      </c>
      <c r="C3">
        <f>'NB Solver'!M3</f>
        <v>16.505792230005202</v>
      </c>
      <c r="D3">
        <f t="shared" ref="D3:D13" si="0">LN(1+C3*C$15)</f>
        <v>0.99959009653438768</v>
      </c>
      <c r="E3" cm="1">
        <f t="array" ref="E3">SUMPRODUCT(1/[1]!SEQ(B3,1,C$16))</f>
        <v>0.88609855300435036</v>
      </c>
      <c r="F3">
        <f t="shared" ref="F3:F13" si="1">C$16^4*(D3-E3)^2</f>
        <v>109.95665842106972</v>
      </c>
      <c r="G3">
        <f t="shared" ref="G3:G13" si="2">C3/(C$15^2*(1+C$15*C3))</f>
        <v>561.26398429814901</v>
      </c>
    </row>
    <row r="4" spans="1:7" x14ac:dyDescent="0.35">
      <c r="A4">
        <f t="shared" ref="A4:A13" si="3">A3+1</f>
        <v>3</v>
      </c>
      <c r="B4">
        <f>'NB Solver'!B4</f>
        <v>1</v>
      </c>
      <c r="C4">
        <f>'NB Solver'!M4</f>
        <v>1.8466542986118109</v>
      </c>
      <c r="D4">
        <f t="shared" si="0"/>
        <v>0.17572929809806404</v>
      </c>
      <c r="E4" cm="1">
        <f t="array" ref="E4">SUMPRODUCT(1/[1]!SEQ(B4,1,C$16))</f>
        <v>0.10403425656408627</v>
      </c>
      <c r="F4">
        <f t="shared" si="1"/>
        <v>43.880621421810517</v>
      </c>
      <c r="G4">
        <f t="shared" si="2"/>
        <v>143.12470376538872</v>
      </c>
    </row>
    <row r="5" spans="1:7" x14ac:dyDescent="0.35">
      <c r="A5">
        <f t="shared" si="3"/>
        <v>4</v>
      </c>
      <c r="B5">
        <f>'NB Solver'!B5</f>
        <v>13</v>
      </c>
      <c r="C5">
        <f>'NB Solver'!M5</f>
        <v>13.42825365656762</v>
      </c>
      <c r="D5">
        <f t="shared" si="0"/>
        <v>0.87421728215831407</v>
      </c>
      <c r="E5" cm="1">
        <f t="array" ref="E5">SUMPRODUCT(1/[1]!SEQ(B5,1,C$16))</f>
        <v>0.88609855300435036</v>
      </c>
      <c r="F5">
        <f t="shared" si="1"/>
        <v>1.2050923243918523</v>
      </c>
      <c r="G5">
        <f t="shared" si="2"/>
        <v>517.60571008806687</v>
      </c>
    </row>
    <row r="6" spans="1:7" x14ac:dyDescent="0.35">
      <c r="A6">
        <f t="shared" si="3"/>
        <v>5</v>
      </c>
      <c r="B6">
        <f>'NB Solver'!B6</f>
        <v>11</v>
      </c>
      <c r="C6">
        <f>'NB Solver'!M6</f>
        <v>5.2409712308597571</v>
      </c>
      <c r="D6">
        <f t="shared" si="0"/>
        <v>0.43517959122515482</v>
      </c>
      <c r="E6" cm="1">
        <f t="array" ref="E6">SUMPRODUCT(1/[1]!SEQ(B6,1,C$16))</f>
        <v>0.79131351652939841</v>
      </c>
      <c r="F6">
        <f t="shared" si="1"/>
        <v>1082.7326194701341</v>
      </c>
      <c r="G6">
        <f t="shared" si="2"/>
        <v>313.37398809241876</v>
      </c>
    </row>
    <row r="7" spans="1:7" x14ac:dyDescent="0.35">
      <c r="A7">
        <f t="shared" si="3"/>
        <v>6</v>
      </c>
      <c r="B7">
        <f>'NB Solver'!B7</f>
        <v>5</v>
      </c>
      <c r="C7">
        <f>'NB Solver'!M7</f>
        <v>3.4648279532735442</v>
      </c>
      <c r="D7">
        <f t="shared" si="0"/>
        <v>0.30782346606699301</v>
      </c>
      <c r="E7" cm="1">
        <f t="array" ref="E7">SUMPRODUCT(1/[1]!SEQ(B7,1,C$16))</f>
        <v>0.43713305310725359</v>
      </c>
      <c r="F7">
        <f t="shared" si="1"/>
        <v>142.74338042645141</v>
      </c>
      <c r="G7">
        <f t="shared" si="2"/>
        <v>235.31136642945694</v>
      </c>
    </row>
    <row r="8" spans="1:7" x14ac:dyDescent="0.35">
      <c r="A8">
        <f t="shared" si="3"/>
        <v>7</v>
      </c>
      <c r="B8">
        <f>'NB Solver'!B8</f>
        <v>76</v>
      </c>
      <c r="C8">
        <f>'NB Solver'!M8</f>
        <v>62.94245528643134</v>
      </c>
      <c r="D8">
        <f t="shared" si="0"/>
        <v>2.0213053540686849</v>
      </c>
      <c r="E8" cm="1">
        <f t="array" ref="E8">SUMPRODUCT(1/[1]!SEQ(B8,1,C$16))</f>
        <v>2.2338593947255654</v>
      </c>
      <c r="F8">
        <f t="shared" si="1"/>
        <v>385.68545282333434</v>
      </c>
      <c r="G8">
        <f t="shared" si="2"/>
        <v>770.45837877298368</v>
      </c>
    </row>
    <row r="9" spans="1:7" x14ac:dyDescent="0.35">
      <c r="A9">
        <f t="shared" si="3"/>
        <v>8</v>
      </c>
      <c r="B9">
        <f>'NB Solver'!B9</f>
        <v>80</v>
      </c>
      <c r="C9">
        <f>'NB Solver'!M9</f>
        <v>60.420383289286441</v>
      </c>
      <c r="D9">
        <f t="shared" si="0"/>
        <v>1.9859258286689614</v>
      </c>
      <c r="E9" cm="1">
        <f t="array" ref="E9">SUMPRODUCT(1/[1]!SEQ(B9,1,C$16))</f>
        <v>2.2797847440943486</v>
      </c>
      <c r="F9">
        <f t="shared" si="1"/>
        <v>737.17783840722302</v>
      </c>
      <c r="G9">
        <f t="shared" si="2"/>
        <v>766.22110667059417</v>
      </c>
    </row>
    <row r="10" spans="1:7" x14ac:dyDescent="0.35">
      <c r="A10">
        <f t="shared" si="3"/>
        <v>9</v>
      </c>
      <c r="B10">
        <f>'NB Solver'!B10</f>
        <v>140</v>
      </c>
      <c r="C10">
        <f>'NB Solver'!M10</f>
        <v>136.06787397549343</v>
      </c>
      <c r="D10">
        <f t="shared" si="0"/>
        <v>2.7183780257976733</v>
      </c>
      <c r="E10" cm="1">
        <f t="array" ref="E10">SUMPRODUCT(1/[1]!SEQ(B10,1,C$16))</f>
        <v>2.7945840806269362</v>
      </c>
      <c r="F10">
        <f t="shared" si="1"/>
        <v>49.576228595695412</v>
      </c>
      <c r="G10">
        <f t="shared" si="2"/>
        <v>829.51890222956456</v>
      </c>
    </row>
    <row r="11" spans="1:7" x14ac:dyDescent="0.35">
      <c r="A11">
        <f t="shared" si="3"/>
        <v>10</v>
      </c>
      <c r="B11">
        <f>'NB Solver'!B11</f>
        <v>75</v>
      </c>
      <c r="C11">
        <f>'NB Solver'!M11</f>
        <v>66.134455195702671</v>
      </c>
      <c r="D11">
        <f t="shared" si="0"/>
        <v>2.0643594870710076</v>
      </c>
      <c r="E11" cm="1">
        <f t="array" ref="E11">SUMPRODUCT(1/[1]!SEQ(B11,1,C$16))</f>
        <v>2.2220407706738419</v>
      </c>
      <c r="F11">
        <f t="shared" si="1"/>
        <v>212.25348087172901</v>
      </c>
      <c r="G11">
        <f t="shared" si="2"/>
        <v>775.41662898222853</v>
      </c>
    </row>
    <row r="12" spans="1:7" x14ac:dyDescent="0.35">
      <c r="A12">
        <f t="shared" si="3"/>
        <v>11</v>
      </c>
      <c r="B12">
        <f>'NB Solver'!B12</f>
        <v>14</v>
      </c>
      <c r="C12">
        <f>'NB Solver'!M12</f>
        <v>40.9577299319037</v>
      </c>
      <c r="D12">
        <f t="shared" si="0"/>
        <v>1.66032245025553</v>
      </c>
      <c r="E12" cm="1">
        <f t="array" ref="E12">SUMPRODUCT(1/[1]!SEQ(B12,1,C$16))</f>
        <v>0.93032243145181892</v>
      </c>
      <c r="F12">
        <f t="shared" si="1"/>
        <v>4549.2548895279479</v>
      </c>
      <c r="G12">
        <f t="shared" si="2"/>
        <v>719.30696182126644</v>
      </c>
    </row>
    <row r="13" spans="1:7" x14ac:dyDescent="0.35">
      <c r="A13">
        <f t="shared" si="3"/>
        <v>12</v>
      </c>
      <c r="B13" s="8">
        <f>'NB Solver'!B13</f>
        <v>57</v>
      </c>
      <c r="C13" s="8">
        <f>'NB Solver'!M13</f>
        <v>62.052205852211458</v>
      </c>
      <c r="D13" s="8">
        <f t="shared" si="0"/>
        <v>2.0089594060746214</v>
      </c>
      <c r="E13" s="8" cm="1">
        <f t="array" ref="E13">SUMPRODUCT(1/[1]!SEQ(B13,1,C$16))</f>
        <v>1.9812461504650853</v>
      </c>
      <c r="F13" s="8">
        <f t="shared" si="1"/>
        <v>6.5564631222732173</v>
      </c>
      <c r="G13" s="8">
        <f t="shared" si="2"/>
        <v>768.99674952680869</v>
      </c>
    </row>
    <row r="14" spans="1:7" x14ac:dyDescent="0.35">
      <c r="F14">
        <f>SUM(F2:F13)</f>
        <v>8062.5249667611688</v>
      </c>
      <c r="G14">
        <f>SUM(G2:G13)</f>
        <v>7027.8362591972291</v>
      </c>
    </row>
    <row r="15" spans="1:7" x14ac:dyDescent="0.35">
      <c r="A15" s="18" t="s">
        <v>12</v>
      </c>
      <c r="B15" s="18"/>
      <c r="C15" s="3">
        <f>'NB Solver'!J9</f>
        <v>0.10403425656408627</v>
      </c>
    </row>
    <row r="16" spans="1:7" x14ac:dyDescent="0.35">
      <c r="A16" s="9" t="s">
        <v>13</v>
      </c>
      <c r="B16" s="9"/>
      <c r="C16" s="5">
        <f>1/C15</f>
        <v>9.612218446372891</v>
      </c>
      <c r="E16" t="s">
        <v>16</v>
      </c>
      <c r="F16" s="7">
        <f>1/SQRT(F14+G14)</f>
        <v>8.1404831573558076E-3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NB Solver</vt:lpstr>
      <vt:lpstr>Cov</vt:lpstr>
      <vt:lpstr>SE 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2025-09-21T13:59:53Z</dcterms:created>
  <dcterms:modified xsi:type="dcterms:W3CDTF">2025-09-21T14:02:50Z</dcterms:modified>
</cp:coreProperties>
</file>