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A3E190AA-2B92-4268-9CFB-361DF134F126}" xr6:coauthVersionLast="47" xr6:coauthVersionMax="47" xr10:uidLastSave="{00000000-0000-0000-0000-000000000000}"/>
  <bookViews>
    <workbookView xWindow="-110" yWindow="-110" windowWidth="19420" windowHeight="10300" xr2:uid="{6CD15191-9A0A-4FC6-9D94-D2AF2290C549}"/>
  </bookViews>
  <sheets>
    <sheet name="Title" sheetId="2" r:id="rId1"/>
    <sheet name="Contrasts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1" l="1" a="1"/>
  <c r="I38" i="1" s="1"/>
  <c r="N35" i="1" a="1"/>
  <c r="P37" i="1" s="1"/>
  <c r="G25" i="1" a="1"/>
  <c r="I25" i="1" s="1"/>
  <c r="N22" i="1" a="1"/>
  <c r="P22" i="1" s="1"/>
  <c r="G12" i="1" a="1"/>
  <c r="G12" i="1" s="1"/>
  <c r="N9" i="1" a="1"/>
  <c r="O10" i="1" s="1"/>
  <c r="L46" i="1"/>
  <c r="I34" i="1"/>
  <c r="H34" i="1"/>
  <c r="G34" i="1"/>
  <c r="L33" i="1"/>
  <c r="J33" i="1"/>
  <c r="I33" i="1"/>
  <c r="H33" i="1"/>
  <c r="G33" i="1"/>
  <c r="L32" i="1"/>
  <c r="J32" i="1"/>
  <c r="J34" i="1" s="1"/>
  <c r="I32" i="1"/>
  <c r="H32" i="1"/>
  <c r="G32" i="1"/>
  <c r="S31" i="1"/>
  <c r="S33" i="1" s="1"/>
  <c r="L31" i="1"/>
  <c r="J31" i="1"/>
  <c r="I31" i="1"/>
  <c r="I37" i="1" s="1"/>
  <c r="H31" i="1"/>
  <c r="G31" i="1"/>
  <c r="G37" i="1" s="1"/>
  <c r="S30" i="1"/>
  <c r="L30" i="1"/>
  <c r="J30" i="1"/>
  <c r="J36" i="1" s="1"/>
  <c r="I30" i="1"/>
  <c r="H30" i="1"/>
  <c r="H37" i="1" s="1"/>
  <c r="G30" i="1"/>
  <c r="S32" i="1" s="1"/>
  <c r="G29" i="1" a="1"/>
  <c r="I29" i="1" s="1"/>
  <c r="I21" i="1"/>
  <c r="H21" i="1"/>
  <c r="G21" i="1"/>
  <c r="J20" i="1"/>
  <c r="I20" i="1"/>
  <c r="H20" i="1"/>
  <c r="G20" i="1"/>
  <c r="J19" i="1"/>
  <c r="I19" i="1"/>
  <c r="H19" i="1"/>
  <c r="G19" i="1"/>
  <c r="S18" i="1"/>
  <c r="S20" i="1" s="1"/>
  <c r="J18" i="1"/>
  <c r="I18" i="1"/>
  <c r="H18" i="1"/>
  <c r="G18" i="1"/>
  <c r="S17" i="1"/>
  <c r="J17" i="1"/>
  <c r="J23" i="1" s="1"/>
  <c r="I17" i="1"/>
  <c r="I24" i="1" s="1"/>
  <c r="H17" i="1"/>
  <c r="H24" i="1" s="1"/>
  <c r="G17" i="1"/>
  <c r="G24" i="1" s="1"/>
  <c r="N17" i="1" s="1" a="1"/>
  <c r="G16" i="1" a="1"/>
  <c r="I16" i="1" s="1"/>
  <c r="I11" i="1"/>
  <c r="I8" i="1"/>
  <c r="H8" i="1"/>
  <c r="G8" i="1"/>
  <c r="J7" i="1"/>
  <c r="I7" i="1"/>
  <c r="H7" i="1"/>
  <c r="G7" i="1"/>
  <c r="J6" i="1"/>
  <c r="I6" i="1"/>
  <c r="H6" i="1"/>
  <c r="G6" i="1"/>
  <c r="S5" i="1"/>
  <c r="S7" i="1" s="1"/>
  <c r="J5" i="1"/>
  <c r="I5" i="1"/>
  <c r="H5" i="1"/>
  <c r="G5" i="1"/>
  <c r="S4" i="1"/>
  <c r="J4" i="1"/>
  <c r="J10" i="1" s="1"/>
  <c r="I4" i="1"/>
  <c r="H4" i="1"/>
  <c r="H11" i="1" s="1"/>
  <c r="G4" i="1"/>
  <c r="G11" i="1" s="1"/>
  <c r="N4" i="1" s="1" a="1"/>
  <c r="G3" i="1"/>
  <c r="G3" i="1" a="1"/>
  <c r="I3" i="1" s="1"/>
  <c r="N11" i="1" l="1"/>
  <c r="O11" i="1"/>
  <c r="P11" i="1"/>
  <c r="G25" i="1"/>
  <c r="N35" i="1"/>
  <c r="O35" i="1"/>
  <c r="P35" i="1"/>
  <c r="N23" i="1"/>
  <c r="N36" i="1"/>
  <c r="O23" i="1"/>
  <c r="O36" i="1"/>
  <c r="P23" i="1"/>
  <c r="P36" i="1"/>
  <c r="N24" i="1"/>
  <c r="N37" i="1"/>
  <c r="O24" i="1"/>
  <c r="O37" i="1"/>
  <c r="N9" i="1"/>
  <c r="P24" i="1"/>
  <c r="P10" i="1"/>
  <c r="H12" i="1"/>
  <c r="I12" i="1"/>
  <c r="O9" i="1"/>
  <c r="H25" i="1"/>
  <c r="P9" i="1"/>
  <c r="N22" i="1"/>
  <c r="G38" i="1"/>
  <c r="N10" i="1"/>
  <c r="O22" i="1"/>
  <c r="H38" i="1"/>
  <c r="H43" i="1" s="1"/>
  <c r="N17" i="1"/>
  <c r="O19" i="1"/>
  <c r="P19" i="1"/>
  <c r="N19" i="1"/>
  <c r="P18" i="1"/>
  <c r="O18" i="1"/>
  <c r="N18" i="1"/>
  <c r="P17" i="1"/>
  <c r="O17" i="1"/>
  <c r="I48" i="1"/>
  <c r="N30" i="1" a="1"/>
  <c r="I47" i="1"/>
  <c r="O4" i="1"/>
  <c r="N4" i="1"/>
  <c r="P6" i="1"/>
  <c r="N6" i="1"/>
  <c r="O6" i="1"/>
  <c r="P5" i="1"/>
  <c r="O5" i="1"/>
  <c r="N5" i="1"/>
  <c r="P4" i="1"/>
  <c r="L42" i="1"/>
  <c r="L43" i="1" s="1"/>
  <c r="H3" i="1"/>
  <c r="J8" i="1"/>
  <c r="G16" i="1"/>
  <c r="S8" i="1"/>
  <c r="H16" i="1"/>
  <c r="J21" i="1"/>
  <c r="G29" i="1"/>
  <c r="S21" i="1"/>
  <c r="H29" i="1"/>
  <c r="S6" i="1"/>
  <c r="S19" i="1"/>
  <c r="L47" i="1"/>
  <c r="L48" i="1" s="1"/>
  <c r="S34" i="1"/>
  <c r="H48" i="1" l="1"/>
  <c r="H47" i="1"/>
  <c r="S16" i="1"/>
  <c r="I43" i="1"/>
  <c r="I42" i="1"/>
  <c r="H42" i="1"/>
  <c r="G43" i="1"/>
  <c r="S3" i="1"/>
  <c r="G47" i="1"/>
  <c r="G42" i="1"/>
  <c r="G48" i="1"/>
  <c r="S29" i="1"/>
  <c r="P32" i="1"/>
  <c r="O32" i="1"/>
  <c r="N32" i="1"/>
  <c r="P31" i="1"/>
  <c r="O31" i="1"/>
  <c r="N31" i="1"/>
  <c r="P30" i="1"/>
  <c r="N30" i="1"/>
  <c r="O30" i="1"/>
  <c r="S9" i="1" l="1"/>
  <c r="S10" i="1" s="1"/>
  <c r="S11" i="1"/>
  <c r="S35" i="1"/>
  <c r="S36" i="1" s="1"/>
  <c r="S37" i="1"/>
  <c r="S22" i="1"/>
  <c r="S23" i="1" s="1"/>
  <c r="S24" i="1"/>
</calcChain>
</file>

<file path=xl/sharedStrings.xml><?xml version="1.0" encoding="utf-8"?>
<sst xmlns="http://schemas.openxmlformats.org/spreadsheetml/2006/main" count="118" uniqueCount="39">
  <si>
    <t>MANOVA - Contrasts</t>
  </si>
  <si>
    <t>Group Means and Contrasts</t>
  </si>
  <si>
    <t>yield</t>
  </si>
  <si>
    <t>water</t>
  </si>
  <si>
    <t>herbicide</t>
  </si>
  <si>
    <t>Count</t>
  </si>
  <si>
    <t>Contrast</t>
  </si>
  <si>
    <t>H-contrast</t>
  </si>
  <si>
    <t>Wilks</t>
  </si>
  <si>
    <t>loam</t>
  </si>
  <si>
    <t>clay</t>
  </si>
  <si>
    <t># sample</t>
  </si>
  <si>
    <t># dep</t>
  </si>
  <si>
    <t>salty</t>
  </si>
  <si>
    <t># indep</t>
  </si>
  <si>
    <t>sandy</t>
  </si>
  <si>
    <t>df1</t>
  </si>
  <si>
    <t>Total</t>
  </si>
  <si>
    <t>E</t>
  </si>
  <si>
    <t>df2</t>
  </si>
  <si>
    <t>F</t>
  </si>
  <si>
    <t>c^2/n</t>
  </si>
  <si>
    <t>p-value</t>
  </si>
  <si>
    <t>mean</t>
  </si>
  <si>
    <t>effect</t>
  </si>
  <si>
    <t>s.e.</t>
  </si>
  <si>
    <t>Simultaneous confidence intervals</t>
  </si>
  <si>
    <t>Alpha</t>
  </si>
  <si>
    <t>lower</t>
  </si>
  <si>
    <t>F-crit</t>
  </si>
  <si>
    <t>upper</t>
  </si>
  <si>
    <t>M</t>
  </si>
  <si>
    <t>Bonferroni confidence intervals</t>
  </si>
  <si>
    <t>df</t>
  </si>
  <si>
    <t>t-crit</t>
  </si>
  <si>
    <t>Real Statistics Using Excel</t>
  </si>
  <si>
    <t>Updated</t>
  </si>
  <si>
    <t>Copyright © 2013 - 2025 Charles Zaiontz</t>
  </si>
  <si>
    <t>MANOVA Follow up using Contrasts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</si>
</sst>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/>
    <xf numFmtId="164" fontId="0" fillId="0" borderId="2" xfId="0" applyNumberFormat="1" applyBorder="1"/>
    <xf numFmtId="164" fontId="0" fillId="0" borderId="3" xfId="0" applyNumberFormat="1" applyBorder="1"/>
    <xf numFmtId="164" fontId="0" fillId="0" borderId="4" xfId="0" applyNumberForma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8" xfId="0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64" fontId="0" fillId="0" borderId="15" xfId="0" applyNumberFormat="1" applyBorder="1"/>
    <xf numFmtId="164" fontId="0" fillId="0" borderId="0" xfId="0" applyNumberFormat="1"/>
    <xf numFmtId="164" fontId="0" fillId="0" borderId="16" xfId="0" applyNumberFormat="1" applyBorder="1"/>
    <xf numFmtId="0" fontId="0" fillId="0" borderId="17" xfId="0" applyBorder="1"/>
    <xf numFmtId="0" fontId="0" fillId="2" borderId="17" xfId="0" applyFill="1" applyBorder="1"/>
    <xf numFmtId="0" fontId="0" fillId="0" borderId="18" xfId="0" applyBorder="1"/>
    <xf numFmtId="0" fontId="0" fillId="2" borderId="18" xfId="0" applyFill="1" applyBorder="1"/>
    <xf numFmtId="164" fontId="0" fillId="0" borderId="19" xfId="0" applyNumberFormat="1" applyBorder="1"/>
    <xf numFmtId="164" fontId="0" fillId="0" borderId="20" xfId="0" applyNumberFormat="1" applyBorder="1"/>
    <xf numFmtId="164" fontId="0" fillId="0" borderId="21" xfId="0" applyNumberFormat="1" applyBorder="1"/>
    <xf numFmtId="0" fontId="0" fillId="0" borderId="22" xfId="0" applyBorder="1"/>
    <xf numFmtId="0" fontId="0" fillId="0" borderId="23" xfId="0" applyBorder="1"/>
    <xf numFmtId="164" fontId="0" fillId="0" borderId="24" xfId="0" applyNumberFormat="1" applyBorder="1"/>
    <xf numFmtId="164" fontId="0" fillId="0" borderId="25" xfId="0" applyNumberFormat="1" applyBorder="1"/>
    <xf numFmtId="164" fontId="0" fillId="0" borderId="26" xfId="0" applyNumberFormat="1" applyBorder="1"/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CD9CC-2D33-42DE-857D-E9FF4FFE5A40}">
  <sheetPr codeName="Sheet1"/>
  <dimension ref="A1:M10"/>
  <sheetViews>
    <sheetView tabSelected="1" workbookViewId="0"/>
  </sheetViews>
  <sheetFormatPr defaultRowHeight="14.5" x14ac:dyDescent="0.35"/>
  <sheetData>
    <row r="1" spans="1:13" x14ac:dyDescent="0.35">
      <c r="A1" t="s">
        <v>35</v>
      </c>
    </row>
    <row r="2" spans="1:13" x14ac:dyDescent="0.35">
      <c r="A2" t="s">
        <v>38</v>
      </c>
    </row>
    <row r="4" spans="1:13" x14ac:dyDescent="0.35">
      <c r="A4" t="s">
        <v>36</v>
      </c>
      <c r="B4" s="34">
        <v>45854</v>
      </c>
    </row>
    <row r="6" spans="1:13" x14ac:dyDescent="0.35">
      <c r="A6" s="35" t="s">
        <v>37</v>
      </c>
    </row>
    <row r="10" spans="1:13" ht="18.5" x14ac:dyDescent="0.45">
      <c r="M10" s="3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520F-84E3-454B-BA30-647EC6C8E426}">
  <sheetPr codeName="Sheet27"/>
  <dimension ref="A1:S48"/>
  <sheetViews>
    <sheetView zoomScaleNormal="100" workbookViewId="0"/>
  </sheetViews>
  <sheetFormatPr defaultRowHeight="14.5" x14ac:dyDescent="0.35"/>
  <sheetData>
    <row r="1" spans="1:19" x14ac:dyDescent="0.35">
      <c r="A1" s="1" t="s">
        <v>0</v>
      </c>
      <c r="F1" t="s">
        <v>1</v>
      </c>
    </row>
    <row r="3" spans="1:19" x14ac:dyDescent="0.35">
      <c r="B3" s="2" t="s">
        <v>2</v>
      </c>
      <c r="C3" s="2" t="s">
        <v>3</v>
      </c>
      <c r="D3" s="2" t="s">
        <v>4</v>
      </c>
      <c r="G3" s="3" t="str">
        <f t="array" ref="G3:I3">$B$3:$D$3</f>
        <v>yield</v>
      </c>
      <c r="H3" s="3" t="str">
        <v>water</v>
      </c>
      <c r="I3" s="3" t="str">
        <v>herbicide</v>
      </c>
      <c r="J3" s="3" t="s">
        <v>5</v>
      </c>
      <c r="L3" s="3" t="s">
        <v>6</v>
      </c>
      <c r="N3" t="s">
        <v>7</v>
      </c>
      <c r="R3" t="s">
        <v>8</v>
      </c>
      <c r="S3" s="4" t="e">
        <f ca="1">MDETERM(N9:P11)/MDETERM(N4:P6+N9:P11)</f>
        <v>#NAME?</v>
      </c>
    </row>
    <row r="4" spans="1:19" x14ac:dyDescent="0.35">
      <c r="A4" t="s">
        <v>9</v>
      </c>
      <c r="B4" s="5">
        <v>76.7</v>
      </c>
      <c r="C4" s="6">
        <v>29.5</v>
      </c>
      <c r="D4" s="7">
        <v>7.5</v>
      </c>
      <c r="F4" t="s">
        <v>10</v>
      </c>
      <c r="G4" s="8">
        <f t="shared" ref="G4:I7" si="0">AVERAGEIF($A$4:$A$35,$F4,B$4:B$35)</f>
        <v>58.837499999999999</v>
      </c>
      <c r="H4" s="9">
        <f t="shared" si="0"/>
        <v>33.087500000000006</v>
      </c>
      <c r="I4" s="10">
        <f t="shared" si="0"/>
        <v>4.0875000000000004</v>
      </c>
      <c r="J4" s="11">
        <f>COUNTIF($A$4:$A$35,F4)</f>
        <v>8</v>
      </c>
      <c r="L4" s="12">
        <v>1</v>
      </c>
      <c r="N4" s="8">
        <f t="array" ref="N4:P6">MMULT(TRANSPOSE(G11:I11),G11:I11)/J10</f>
        <v>49.702499999999958</v>
      </c>
      <c r="O4" s="9">
        <v>34.54500000000013</v>
      </c>
      <c r="P4" s="10">
        <v>3.1725000000000061</v>
      </c>
      <c r="R4" t="s">
        <v>11</v>
      </c>
      <c r="S4" s="18">
        <f>COUNT($B$4:$B$35)</f>
        <v>32</v>
      </c>
    </row>
    <row r="5" spans="1:19" x14ac:dyDescent="0.35">
      <c r="A5" t="s">
        <v>9</v>
      </c>
      <c r="B5" s="19">
        <v>60.5</v>
      </c>
      <c r="C5" s="20">
        <v>32.1</v>
      </c>
      <c r="D5" s="21">
        <v>6.3</v>
      </c>
      <c r="F5" t="s">
        <v>9</v>
      </c>
      <c r="G5" s="13">
        <f t="shared" si="0"/>
        <v>69.712500000000006</v>
      </c>
      <c r="H5">
        <f t="shared" si="0"/>
        <v>32.737499999999997</v>
      </c>
      <c r="I5" s="14">
        <f t="shared" si="0"/>
        <v>6.3874999999999984</v>
      </c>
      <c r="J5" s="22">
        <f>COUNTIF($A$4:$A$35,F5)</f>
        <v>8</v>
      </c>
      <c r="L5" s="23"/>
      <c r="N5" s="13">
        <v>34.54500000000013</v>
      </c>
      <c r="O5">
        <v>24.010000000000193</v>
      </c>
      <c r="P5" s="14">
        <v>2.2050000000000143</v>
      </c>
      <c r="R5" t="s">
        <v>12</v>
      </c>
      <c r="S5" s="18">
        <f>COUNT($B$4:$D$4)</f>
        <v>3</v>
      </c>
    </row>
    <row r="6" spans="1:19" x14ac:dyDescent="0.35">
      <c r="A6" t="s">
        <v>9</v>
      </c>
      <c r="B6" s="19">
        <v>96.1</v>
      </c>
      <c r="C6" s="20">
        <v>40.700000000000003</v>
      </c>
      <c r="D6" s="21">
        <v>4.2</v>
      </c>
      <c r="F6" t="s">
        <v>13</v>
      </c>
      <c r="G6" s="13">
        <f t="shared" si="0"/>
        <v>55.3125</v>
      </c>
      <c r="H6">
        <f t="shared" si="0"/>
        <v>30.637499999999996</v>
      </c>
      <c r="I6" s="14">
        <f t="shared" si="0"/>
        <v>3.8624999999999998</v>
      </c>
      <c r="J6" s="22">
        <f>COUNTIF($A$4:$A$35,F6)</f>
        <v>8</v>
      </c>
      <c r="L6" s="23">
        <v>-1</v>
      </c>
      <c r="N6" s="15">
        <v>3.1725000000000061</v>
      </c>
      <c r="O6" s="16">
        <v>2.2050000000000143</v>
      </c>
      <c r="P6" s="17">
        <v>0.20250000000000096</v>
      </c>
      <c r="R6" t="s">
        <v>14</v>
      </c>
      <c r="S6" s="18">
        <f>COUNT(G4:G7)</f>
        <v>4</v>
      </c>
    </row>
    <row r="7" spans="1:19" x14ac:dyDescent="0.35">
      <c r="A7" t="s">
        <v>9</v>
      </c>
      <c r="B7" s="19">
        <v>88.1</v>
      </c>
      <c r="C7" s="20">
        <v>45.1</v>
      </c>
      <c r="D7" s="21">
        <v>4.9000000000000004</v>
      </c>
      <c r="F7" t="s">
        <v>15</v>
      </c>
      <c r="G7" s="15">
        <f t="shared" si="0"/>
        <v>62.575000000000003</v>
      </c>
      <c r="H7" s="16">
        <f t="shared" si="0"/>
        <v>28.2</v>
      </c>
      <c r="I7" s="17">
        <f t="shared" si="0"/>
        <v>4.3500000000000005</v>
      </c>
      <c r="J7" s="24">
        <f>COUNTIF($A$4:$A$35,F7)</f>
        <v>8</v>
      </c>
      <c r="L7" s="25"/>
      <c r="R7" t="s">
        <v>16</v>
      </c>
      <c r="S7" s="18">
        <f>S5</f>
        <v>3</v>
      </c>
    </row>
    <row r="8" spans="1:19" x14ac:dyDescent="0.35">
      <c r="A8" t="s">
        <v>9</v>
      </c>
      <c r="B8" s="19">
        <v>50.2</v>
      </c>
      <c r="C8" s="20">
        <v>34.1</v>
      </c>
      <c r="D8" s="21">
        <v>11.7</v>
      </c>
      <c r="F8" t="s">
        <v>17</v>
      </c>
      <c r="G8" s="26">
        <f>AVERAGE(B$4:B$35)</f>
        <v>61.609374999999993</v>
      </c>
      <c r="H8" s="27">
        <f>AVERAGE(C$4:C$35)</f>
        <v>31.165624999999999</v>
      </c>
      <c r="I8" s="28">
        <f>AVERAGE(D$4:D$35)</f>
        <v>4.6718749999999991</v>
      </c>
      <c r="J8" s="29">
        <f>SUM(J4:J7)</f>
        <v>32</v>
      </c>
      <c r="N8" t="s">
        <v>18</v>
      </c>
      <c r="R8" t="s">
        <v>19</v>
      </c>
      <c r="S8" s="18">
        <f>S4-S5-S6+1</f>
        <v>26</v>
      </c>
    </row>
    <row r="9" spans="1:19" x14ac:dyDescent="0.35">
      <c r="A9" t="s">
        <v>9</v>
      </c>
      <c r="B9" s="19">
        <v>55</v>
      </c>
      <c r="C9" s="20">
        <v>31.1</v>
      </c>
      <c r="D9" s="21">
        <v>6.9</v>
      </c>
      <c r="N9" s="8" t="e">
        <f t="array" aca="1" ref="N9:P11" ca="1">COVPooled($A$4:$D$35)*(S4-S6)</f>
        <v>#NAME?</v>
      </c>
      <c r="O9" s="9" t="e">
        <f ca="1"/>
        <v>#NAME?</v>
      </c>
      <c r="P9" s="10" t="e">
        <f ca="1"/>
        <v>#NAME?</v>
      </c>
      <c r="R9" t="s">
        <v>20</v>
      </c>
      <c r="S9" s="18" t="e">
        <f ca="1">(1-S3)/S3*(S8/S7)</f>
        <v>#NAME?</v>
      </c>
    </row>
    <row r="10" spans="1:19" x14ac:dyDescent="0.35">
      <c r="A10" t="s">
        <v>9</v>
      </c>
      <c r="B10" s="19">
        <v>65.400000000000006</v>
      </c>
      <c r="C10" s="20">
        <v>21.6</v>
      </c>
      <c r="D10" s="21">
        <v>4.3</v>
      </c>
      <c r="F10" t="s">
        <v>21</v>
      </c>
      <c r="J10" s="29">
        <f>SUMPRODUCT(L4:L7^2/J4:J7)</f>
        <v>0.25</v>
      </c>
      <c r="N10" s="13" t="e">
        <f ca="1"/>
        <v>#NAME?</v>
      </c>
      <c r="O10" t="e">
        <f ca="1"/>
        <v>#NAME?</v>
      </c>
      <c r="P10" s="14" t="e">
        <f ca="1"/>
        <v>#NAME?</v>
      </c>
      <c r="R10" t="s">
        <v>22</v>
      </c>
      <c r="S10" s="18" t="e">
        <f ca="1">FDIST(S9,S7,S8)</f>
        <v>#NAME?</v>
      </c>
    </row>
    <row r="11" spans="1:19" x14ac:dyDescent="0.35">
      <c r="A11" t="s">
        <v>9</v>
      </c>
      <c r="B11" s="19">
        <v>65.7</v>
      </c>
      <c r="C11" s="20">
        <v>27.7</v>
      </c>
      <c r="D11" s="21">
        <v>5.3</v>
      </c>
      <c r="F11" t="s">
        <v>23</v>
      </c>
      <c r="G11" s="8">
        <f>SUMPRODUCT(G4:G7,$L4:$L7)</f>
        <v>3.5249999999999986</v>
      </c>
      <c r="H11" s="9">
        <f>SUMPRODUCT(H4:H7,$L4:$L7)</f>
        <v>2.4500000000000099</v>
      </c>
      <c r="I11" s="10">
        <f>SUMPRODUCT(I4:I7,$L4:$L7)</f>
        <v>0.22500000000000053</v>
      </c>
      <c r="N11" s="15" t="e">
        <f ca="1"/>
        <v>#NAME?</v>
      </c>
      <c r="O11" s="16" t="e">
        <f ca="1"/>
        <v>#NAME?</v>
      </c>
      <c r="P11" s="17" t="e">
        <f ca="1"/>
        <v>#NAME?</v>
      </c>
      <c r="R11" t="s">
        <v>24</v>
      </c>
      <c r="S11" s="30" t="e">
        <f ca="1">(S4-S6)*(1-S3)*J10/S3</f>
        <v>#NAME?</v>
      </c>
    </row>
    <row r="12" spans="1:19" x14ac:dyDescent="0.35">
      <c r="A12" t="s">
        <v>15</v>
      </c>
      <c r="B12" s="19">
        <v>67.3</v>
      </c>
      <c r="C12" s="20">
        <v>48.3</v>
      </c>
      <c r="D12" s="21">
        <v>5.5</v>
      </c>
      <c r="F12" t="s">
        <v>25</v>
      </c>
      <c r="G12" s="15" t="e">
        <f t="array" aca="1" ref="G12:I12" ca="1">SQRT(DIAG(N9:P11)*J10/(S4-S6))</f>
        <v>#NAME?</v>
      </c>
      <c r="H12" s="16" t="e">
        <f ca="1"/>
        <v>#NAME?</v>
      </c>
      <c r="I12" s="17" t="e">
        <f ca="1"/>
        <v>#NAME?</v>
      </c>
    </row>
    <row r="13" spans="1:19" x14ac:dyDescent="0.35">
      <c r="A13" t="s">
        <v>15</v>
      </c>
      <c r="B13" s="19">
        <v>61.3</v>
      </c>
      <c r="C13" s="20">
        <v>28.9</v>
      </c>
      <c r="D13" s="21">
        <v>6.9</v>
      </c>
    </row>
    <row r="14" spans="1:19" x14ac:dyDescent="0.35">
      <c r="A14" t="s">
        <v>15</v>
      </c>
      <c r="B14" s="19">
        <v>58.2</v>
      </c>
      <c r="C14" s="20">
        <v>42.5</v>
      </c>
      <c r="D14" s="21">
        <v>4.8</v>
      </c>
      <c r="F14" t="s">
        <v>1</v>
      </c>
    </row>
    <row r="15" spans="1:19" x14ac:dyDescent="0.35">
      <c r="A15" t="s">
        <v>15</v>
      </c>
      <c r="B15" s="19">
        <v>76.900000000000006</v>
      </c>
      <c r="C15" s="20">
        <v>20.399999999999999</v>
      </c>
      <c r="D15" s="21">
        <v>3</v>
      </c>
    </row>
    <row r="16" spans="1:19" x14ac:dyDescent="0.35">
      <c r="A16" t="s">
        <v>15</v>
      </c>
      <c r="B16" s="19">
        <v>66.900000000000006</v>
      </c>
      <c r="C16" s="20">
        <v>23.9</v>
      </c>
      <c r="D16" s="21">
        <v>1.1000000000000001</v>
      </c>
      <c r="G16" s="3" t="str">
        <f t="array" ref="G16:I16">$B$3:$D$3</f>
        <v>yield</v>
      </c>
      <c r="H16" s="3" t="str">
        <v>water</v>
      </c>
      <c r="I16" s="3" t="str">
        <v>herbicide</v>
      </c>
      <c r="J16" s="3" t="s">
        <v>5</v>
      </c>
      <c r="L16" s="3" t="s">
        <v>6</v>
      </c>
      <c r="N16" t="s">
        <v>7</v>
      </c>
      <c r="R16" t="s">
        <v>8</v>
      </c>
      <c r="S16" s="4" t="e">
        <f ca="1">MDETERM(N22:P24)/MDETERM(N17:P19+N22:P24)</f>
        <v>#NAME?</v>
      </c>
    </row>
    <row r="17" spans="1:19" x14ac:dyDescent="0.35">
      <c r="A17" t="s">
        <v>15</v>
      </c>
      <c r="B17" s="19">
        <v>55.4</v>
      </c>
      <c r="C17" s="20">
        <v>29.1</v>
      </c>
      <c r="D17" s="21">
        <v>5</v>
      </c>
      <c r="F17" t="s">
        <v>10</v>
      </c>
      <c r="G17" s="8">
        <f t="shared" ref="G17:I20" si="1">AVERAGEIF($A$4:$A$35,$F17,B$4:B$35)</f>
        <v>58.837499999999999</v>
      </c>
      <c r="H17" s="9">
        <f t="shared" si="1"/>
        <v>33.087500000000006</v>
      </c>
      <c r="I17" s="10">
        <f t="shared" si="1"/>
        <v>4.0875000000000004</v>
      </c>
      <c r="J17" s="11">
        <f>COUNTIF($A$4:$A$35,F17)</f>
        <v>8</v>
      </c>
      <c r="L17" s="12"/>
      <c r="N17" s="8">
        <f t="array" ref="N17:P19">MMULT(TRANSPOSE(G24:I24),G24:I24)/J23</f>
        <v>203.77562500000016</v>
      </c>
      <c r="O17" s="9">
        <v>129.545625</v>
      </c>
      <c r="P17" s="10">
        <v>58.170624999999966</v>
      </c>
      <c r="R17" t="s">
        <v>11</v>
      </c>
      <c r="S17" s="18">
        <f>COUNT($B$4:$B$35)</f>
        <v>32</v>
      </c>
    </row>
    <row r="18" spans="1:19" x14ac:dyDescent="0.35">
      <c r="A18" t="s">
        <v>15</v>
      </c>
      <c r="B18" s="19">
        <v>50.5</v>
      </c>
      <c r="C18" s="20">
        <v>18</v>
      </c>
      <c r="D18" s="21">
        <v>4.8</v>
      </c>
      <c r="F18" t="s">
        <v>9</v>
      </c>
      <c r="G18" s="13">
        <f t="shared" si="1"/>
        <v>69.712500000000006</v>
      </c>
      <c r="H18">
        <f t="shared" si="1"/>
        <v>32.737499999999997</v>
      </c>
      <c r="I18" s="14">
        <f t="shared" si="1"/>
        <v>6.3874999999999984</v>
      </c>
      <c r="J18" s="22">
        <f>COUNTIF($A$4:$A$35,F18)</f>
        <v>8</v>
      </c>
      <c r="L18" s="23">
        <v>1</v>
      </c>
      <c r="N18" s="13">
        <v>129.545625</v>
      </c>
      <c r="O18">
        <v>82.355624999999918</v>
      </c>
      <c r="P18" s="14">
        <v>36.980624999999947</v>
      </c>
      <c r="R18" t="s">
        <v>12</v>
      </c>
      <c r="S18" s="18">
        <f>COUNT($B$4:$D$4)</f>
        <v>3</v>
      </c>
    </row>
    <row r="19" spans="1:19" x14ac:dyDescent="0.35">
      <c r="A19" t="s">
        <v>15</v>
      </c>
      <c r="B19" s="19">
        <v>64.099999999999994</v>
      </c>
      <c r="C19" s="20">
        <v>14.5</v>
      </c>
      <c r="D19" s="21">
        <v>3.7</v>
      </c>
      <c r="F19" t="s">
        <v>13</v>
      </c>
      <c r="G19" s="13">
        <f t="shared" si="1"/>
        <v>55.3125</v>
      </c>
      <c r="H19">
        <f t="shared" si="1"/>
        <v>30.637499999999996</v>
      </c>
      <c r="I19" s="14">
        <f t="shared" si="1"/>
        <v>3.8624999999999998</v>
      </c>
      <c r="J19" s="22">
        <f>COUNTIF($A$4:$A$35,F19)</f>
        <v>8</v>
      </c>
      <c r="L19" s="23"/>
      <c r="N19" s="15">
        <v>58.170624999999966</v>
      </c>
      <c r="O19" s="16">
        <v>36.980624999999947</v>
      </c>
      <c r="P19" s="17">
        <v>16.605624999999964</v>
      </c>
      <c r="R19" t="s">
        <v>14</v>
      </c>
      <c r="S19" s="18">
        <f>COUNT(G17:G20)</f>
        <v>4</v>
      </c>
    </row>
    <row r="20" spans="1:19" x14ac:dyDescent="0.35">
      <c r="A20" t="s">
        <v>13</v>
      </c>
      <c r="B20" s="19">
        <v>62.8</v>
      </c>
      <c r="C20" s="20">
        <v>25.9</v>
      </c>
      <c r="D20" s="21">
        <v>2.9</v>
      </c>
      <c r="F20" t="s">
        <v>15</v>
      </c>
      <c r="G20" s="15">
        <f t="shared" si="1"/>
        <v>62.575000000000003</v>
      </c>
      <c r="H20" s="16">
        <f t="shared" si="1"/>
        <v>28.2</v>
      </c>
      <c r="I20" s="17">
        <f t="shared" si="1"/>
        <v>4.3500000000000005</v>
      </c>
      <c r="J20" s="24">
        <f>COUNTIF($A$4:$A$35,F20)</f>
        <v>8</v>
      </c>
      <c r="L20" s="25">
        <v>-1</v>
      </c>
      <c r="R20" t="s">
        <v>16</v>
      </c>
      <c r="S20" s="18">
        <f>S18</f>
        <v>3</v>
      </c>
    </row>
    <row r="21" spans="1:19" x14ac:dyDescent="0.35">
      <c r="A21" t="s">
        <v>13</v>
      </c>
      <c r="B21" s="19">
        <v>45</v>
      </c>
      <c r="C21" s="20">
        <v>15.9</v>
      </c>
      <c r="D21" s="21">
        <v>1.2</v>
      </c>
      <c r="F21" t="s">
        <v>17</v>
      </c>
      <c r="G21" s="26">
        <f>AVERAGE(B$4:B$35)</f>
        <v>61.609374999999993</v>
      </c>
      <c r="H21" s="27">
        <f>AVERAGE(C$4:C$35)</f>
        <v>31.165624999999999</v>
      </c>
      <c r="I21" s="28">
        <f>AVERAGE(D$4:D$35)</f>
        <v>4.6718749999999991</v>
      </c>
      <c r="J21" s="29">
        <f>SUM(J17:J20)</f>
        <v>32</v>
      </c>
      <c r="N21" t="s">
        <v>18</v>
      </c>
      <c r="R21" t="s">
        <v>19</v>
      </c>
      <c r="S21" s="18">
        <f>S17-S18-S19+1</f>
        <v>26</v>
      </c>
    </row>
    <row r="22" spans="1:19" x14ac:dyDescent="0.35">
      <c r="A22" t="s">
        <v>13</v>
      </c>
      <c r="B22" s="19">
        <v>47.8</v>
      </c>
      <c r="C22" s="20">
        <v>36.1</v>
      </c>
      <c r="D22" s="21">
        <v>4.0999999999999996</v>
      </c>
      <c r="N22" s="8" t="e">
        <f t="array" aca="1" ref="N22:P24" ca="1">COVPooled($A$4:$D$35)*(S17-S19)</f>
        <v>#NAME?</v>
      </c>
      <c r="O22" s="9" t="e">
        <f ca="1"/>
        <v>#NAME?</v>
      </c>
      <c r="P22" s="10" t="e">
        <f ca="1"/>
        <v>#NAME?</v>
      </c>
      <c r="R22" t="s">
        <v>20</v>
      </c>
      <c r="S22" s="18" t="e">
        <f ca="1">(1-S16)/S16*(S21/S20)</f>
        <v>#NAME?</v>
      </c>
    </row>
    <row r="23" spans="1:19" x14ac:dyDescent="0.35">
      <c r="A23" t="s">
        <v>13</v>
      </c>
      <c r="B23" s="19">
        <v>75.599999999999994</v>
      </c>
      <c r="C23" s="20">
        <v>27.7</v>
      </c>
      <c r="D23" s="21">
        <v>6.3</v>
      </c>
      <c r="F23" t="s">
        <v>21</v>
      </c>
      <c r="J23" s="29">
        <f>SUMPRODUCT(L17:L20^2/J17:J20)</f>
        <v>0.25</v>
      </c>
      <c r="N23" s="13" t="e">
        <f ca="1"/>
        <v>#NAME?</v>
      </c>
      <c r="O23" t="e">
        <f ca="1"/>
        <v>#NAME?</v>
      </c>
      <c r="P23" s="14" t="e">
        <f ca="1"/>
        <v>#NAME?</v>
      </c>
      <c r="R23" t="s">
        <v>22</v>
      </c>
      <c r="S23" s="18" t="e">
        <f ca="1">FDIST(S22,S20,S21)</f>
        <v>#NAME?</v>
      </c>
    </row>
    <row r="24" spans="1:19" x14ac:dyDescent="0.35">
      <c r="A24" t="s">
        <v>13</v>
      </c>
      <c r="B24" s="19">
        <v>46.6</v>
      </c>
      <c r="C24" s="20">
        <v>46.9</v>
      </c>
      <c r="D24" s="21">
        <v>3.6</v>
      </c>
      <c r="F24" t="s">
        <v>23</v>
      </c>
      <c r="G24" s="8">
        <f>SUMPRODUCT(G17:G20,$L17:$L20)</f>
        <v>7.1375000000000028</v>
      </c>
      <c r="H24" s="9">
        <f>SUMPRODUCT(H17:H20,$L17:$L20)</f>
        <v>4.5374999999999979</v>
      </c>
      <c r="I24" s="10">
        <f>SUMPRODUCT(I17:I20,$L17:$L20)</f>
        <v>2.0374999999999979</v>
      </c>
      <c r="N24" s="15" t="e">
        <f ca="1"/>
        <v>#NAME?</v>
      </c>
      <c r="O24" s="16" t="e">
        <f ca="1"/>
        <v>#NAME?</v>
      </c>
      <c r="P24" s="17" t="e">
        <f ca="1"/>
        <v>#NAME?</v>
      </c>
      <c r="R24" t="s">
        <v>24</v>
      </c>
      <c r="S24" s="30" t="e">
        <f ca="1">(S17-S19)*(1-S16)*J23/S16</f>
        <v>#NAME?</v>
      </c>
    </row>
    <row r="25" spans="1:19" x14ac:dyDescent="0.35">
      <c r="A25" t="s">
        <v>13</v>
      </c>
      <c r="B25" s="19">
        <v>50.6</v>
      </c>
      <c r="C25" s="20">
        <v>29.7</v>
      </c>
      <c r="D25" s="21">
        <v>4.7</v>
      </c>
      <c r="F25" t="s">
        <v>25</v>
      </c>
      <c r="G25" s="15" t="e">
        <f t="array" aca="1" ref="G25:I25" ca="1">SQRT(DIAG(N22:P24)*J23/(S17-S19))</f>
        <v>#NAME?</v>
      </c>
      <c r="H25" s="16" t="e">
        <f ca="1"/>
        <v>#NAME?</v>
      </c>
      <c r="I25" s="17" t="e">
        <f ca="1"/>
        <v>#NAME?</v>
      </c>
    </row>
    <row r="26" spans="1:19" x14ac:dyDescent="0.35">
      <c r="A26" t="s">
        <v>13</v>
      </c>
      <c r="B26" s="19">
        <v>45.7</v>
      </c>
      <c r="C26" s="20">
        <v>27.6</v>
      </c>
      <c r="D26" s="21">
        <v>6.2</v>
      </c>
    </row>
    <row r="27" spans="1:19" x14ac:dyDescent="0.35">
      <c r="A27" t="s">
        <v>13</v>
      </c>
      <c r="B27" s="19">
        <v>68.400000000000006</v>
      </c>
      <c r="C27" s="20">
        <v>35.299999999999997</v>
      </c>
      <c r="D27" s="21">
        <v>1.9</v>
      </c>
      <c r="F27" t="s">
        <v>1</v>
      </c>
    </row>
    <row r="28" spans="1:19" x14ac:dyDescent="0.35">
      <c r="A28" t="s">
        <v>10</v>
      </c>
      <c r="B28" s="19">
        <v>52.5</v>
      </c>
      <c r="C28" s="20">
        <v>39</v>
      </c>
      <c r="D28" s="21">
        <v>3.1</v>
      </c>
    </row>
    <row r="29" spans="1:19" x14ac:dyDescent="0.35">
      <c r="A29" t="s">
        <v>10</v>
      </c>
      <c r="B29" s="19">
        <v>80</v>
      </c>
      <c r="C29" s="20">
        <v>54.2</v>
      </c>
      <c r="D29" s="21">
        <v>4</v>
      </c>
      <c r="G29" s="3" t="str">
        <f t="array" ref="G29:I29">$B$3:$D$3</f>
        <v>yield</v>
      </c>
      <c r="H29" s="3" t="str">
        <v>water</v>
      </c>
      <c r="I29" s="3" t="str">
        <v>herbicide</v>
      </c>
      <c r="J29" s="3" t="s">
        <v>5</v>
      </c>
      <c r="L29" s="3" t="s">
        <v>6</v>
      </c>
      <c r="N29" t="s">
        <v>7</v>
      </c>
      <c r="R29" t="s">
        <v>8</v>
      </c>
      <c r="S29" s="4" t="e">
        <f ca="1">MDETERM(N35:P37)/MDETERM(N30:P32+N35:P37)</f>
        <v>#NAME?</v>
      </c>
    </row>
    <row r="30" spans="1:19" x14ac:dyDescent="0.35">
      <c r="A30" t="s">
        <v>10</v>
      </c>
      <c r="B30" s="19">
        <v>54.7</v>
      </c>
      <c r="C30" s="20">
        <v>32.1</v>
      </c>
      <c r="D30" s="21">
        <v>5.7</v>
      </c>
      <c r="F30" t="s">
        <v>10</v>
      </c>
      <c r="G30" s="8">
        <f t="shared" ref="G30:I33" si="2">AVERAGEIF($A$4:$A$35,$F30,B$4:B$35)</f>
        <v>58.837499999999999</v>
      </c>
      <c r="H30" s="9">
        <f t="shared" si="2"/>
        <v>33.087500000000006</v>
      </c>
      <c r="I30" s="10">
        <f t="shared" si="2"/>
        <v>4.0875000000000004</v>
      </c>
      <c r="J30" s="11">
        <f>COUNTIF($A$4:$A$35,F30)</f>
        <v>8</v>
      </c>
      <c r="L30" s="12">
        <f>L32</f>
        <v>-0.5</v>
      </c>
      <c r="N30" s="8">
        <f t="array" ref="N30:P32">MMULT(TRANSPOSE(G37:I37),G37:I37)/J36</f>
        <v>657.93781250000075</v>
      </c>
      <c r="O30" s="9">
        <v>-101.11656250000024</v>
      </c>
      <c r="P30" s="10">
        <v>101.11656250000001</v>
      </c>
      <c r="R30" t="s">
        <v>11</v>
      </c>
      <c r="S30" s="18">
        <f>COUNT($B$4:$B$35)</f>
        <v>32</v>
      </c>
    </row>
    <row r="31" spans="1:19" x14ac:dyDescent="0.35">
      <c r="A31" t="s">
        <v>10</v>
      </c>
      <c r="B31" s="19">
        <v>63.5</v>
      </c>
      <c r="C31" s="20">
        <v>25.6</v>
      </c>
      <c r="D31" s="21">
        <v>3</v>
      </c>
      <c r="F31" t="s">
        <v>9</v>
      </c>
      <c r="G31" s="13">
        <f t="shared" si="2"/>
        <v>69.712500000000006</v>
      </c>
      <c r="H31">
        <f t="shared" si="2"/>
        <v>32.737499999999997</v>
      </c>
      <c r="I31" s="14">
        <f t="shared" si="2"/>
        <v>6.3874999999999984</v>
      </c>
      <c r="J31" s="22">
        <f>COUNTIF($A$4:$A$35,F31)</f>
        <v>8</v>
      </c>
      <c r="L31" s="23">
        <f>L33</f>
        <v>0.5</v>
      </c>
      <c r="N31" s="13">
        <v>-101.11656250000024</v>
      </c>
      <c r="O31">
        <v>15.540312500000056</v>
      </c>
      <c r="P31" s="14">
        <v>-15.54031250000002</v>
      </c>
      <c r="R31" t="s">
        <v>12</v>
      </c>
      <c r="S31" s="18">
        <f>COUNT($B$4:$D$4)</f>
        <v>3</v>
      </c>
    </row>
    <row r="32" spans="1:19" x14ac:dyDescent="0.35">
      <c r="A32" t="s">
        <v>10</v>
      </c>
      <c r="B32" s="19">
        <v>46.3</v>
      </c>
      <c r="C32" s="20">
        <v>31.8</v>
      </c>
      <c r="D32" s="21">
        <v>7.4</v>
      </c>
      <c r="F32" t="s">
        <v>13</v>
      </c>
      <c r="G32" s="13">
        <f t="shared" si="2"/>
        <v>55.3125</v>
      </c>
      <c r="H32">
        <f t="shared" si="2"/>
        <v>30.637499999999996</v>
      </c>
      <c r="I32" s="14">
        <f t="shared" si="2"/>
        <v>3.8624999999999998</v>
      </c>
      <c r="J32" s="22">
        <f>COUNTIF($A$4:$A$35,F32)</f>
        <v>8</v>
      </c>
      <c r="L32" s="23">
        <f>-L33</f>
        <v>-0.5</v>
      </c>
      <c r="N32" s="15">
        <v>101.11656250000001</v>
      </c>
      <c r="O32" s="16">
        <v>-15.54031250000002</v>
      </c>
      <c r="P32" s="17">
        <v>15.540312499999986</v>
      </c>
      <c r="R32" t="s">
        <v>14</v>
      </c>
      <c r="S32" s="18">
        <f>COUNT(G30:G33)</f>
        <v>4</v>
      </c>
    </row>
    <row r="33" spans="1:19" x14ac:dyDescent="0.35">
      <c r="A33" t="s">
        <v>10</v>
      </c>
      <c r="B33" s="19">
        <v>61.5</v>
      </c>
      <c r="C33" s="20">
        <v>16.8</v>
      </c>
      <c r="D33" s="21">
        <v>1.9</v>
      </c>
      <c r="F33" t="s">
        <v>15</v>
      </c>
      <c r="G33" s="15">
        <f t="shared" si="2"/>
        <v>62.575000000000003</v>
      </c>
      <c r="H33" s="16">
        <f t="shared" si="2"/>
        <v>28.2</v>
      </c>
      <c r="I33" s="17">
        <f t="shared" si="2"/>
        <v>4.3500000000000005</v>
      </c>
      <c r="J33" s="24">
        <f>COUNTIF($A$4:$A$35,F33)</f>
        <v>8</v>
      </c>
      <c r="L33" s="25">
        <f>1/2</f>
        <v>0.5</v>
      </c>
      <c r="R33" t="s">
        <v>16</v>
      </c>
      <c r="S33" s="18">
        <f>S31</f>
        <v>3</v>
      </c>
    </row>
    <row r="34" spans="1:19" x14ac:dyDescent="0.35">
      <c r="A34" t="s">
        <v>10</v>
      </c>
      <c r="B34" s="19">
        <v>62.9</v>
      </c>
      <c r="C34" s="20">
        <v>25.8</v>
      </c>
      <c r="D34" s="21">
        <v>2.4</v>
      </c>
      <c r="F34" t="s">
        <v>17</v>
      </c>
      <c r="G34" s="26">
        <f>AVERAGE(B$4:B$35)</f>
        <v>61.609374999999993</v>
      </c>
      <c r="H34" s="27">
        <f>AVERAGE(C$4:C$35)</f>
        <v>31.165624999999999</v>
      </c>
      <c r="I34" s="28">
        <f>AVERAGE(D$4:D$35)</f>
        <v>4.6718749999999991</v>
      </c>
      <c r="J34" s="29">
        <f>SUM(J30:J33)</f>
        <v>32</v>
      </c>
      <c r="N34" t="s">
        <v>18</v>
      </c>
      <c r="R34" t="s">
        <v>19</v>
      </c>
      <c r="S34" s="18">
        <f>S30-S31-S32+1</f>
        <v>26</v>
      </c>
    </row>
    <row r="35" spans="1:19" x14ac:dyDescent="0.35">
      <c r="A35" t="s">
        <v>10</v>
      </c>
      <c r="B35" s="31">
        <v>49.3</v>
      </c>
      <c r="C35" s="32">
        <v>39.4</v>
      </c>
      <c r="D35" s="33">
        <v>5.2</v>
      </c>
      <c r="N35" s="8" t="e">
        <f t="array" aca="1" ref="N35:P37" ca="1">COVPooled($A$4:$D$35)*(S30-S32)</f>
        <v>#NAME?</v>
      </c>
      <c r="O35" s="9" t="e">
        <f ca="1"/>
        <v>#NAME?</v>
      </c>
      <c r="P35" s="10" t="e">
        <f ca="1"/>
        <v>#NAME?</v>
      </c>
      <c r="R35" t="s">
        <v>20</v>
      </c>
      <c r="S35" s="18" t="e">
        <f ca="1">(1-S29)/S29*(S34/S33)</f>
        <v>#NAME?</v>
      </c>
    </row>
    <row r="36" spans="1:19" x14ac:dyDescent="0.35">
      <c r="F36" t="s">
        <v>21</v>
      </c>
      <c r="J36" s="29">
        <f>SUMPRODUCT(L30:L33^2/J30:J33)</f>
        <v>0.125</v>
      </c>
      <c r="N36" s="13" t="e">
        <f ca="1"/>
        <v>#NAME?</v>
      </c>
      <c r="O36" t="e">
        <f ca="1"/>
        <v>#NAME?</v>
      </c>
      <c r="P36" s="14" t="e">
        <f ca="1"/>
        <v>#NAME?</v>
      </c>
      <c r="R36" t="s">
        <v>22</v>
      </c>
      <c r="S36" s="18" t="e">
        <f ca="1">FDIST(S35,S33,S34)</f>
        <v>#NAME?</v>
      </c>
    </row>
    <row r="37" spans="1:19" x14ac:dyDescent="0.35">
      <c r="F37" t="s">
        <v>23</v>
      </c>
      <c r="G37" s="8">
        <f>SUMPRODUCT(G30:G33,$L30:$L33)</f>
        <v>9.068750000000005</v>
      </c>
      <c r="H37" s="9">
        <f>SUMPRODUCT(H30:H33,$L30:$L33)</f>
        <v>-1.3937500000000025</v>
      </c>
      <c r="I37" s="10">
        <f>SUMPRODUCT(I30:I33,$L30:$L33)</f>
        <v>1.3937499999999994</v>
      </c>
      <c r="N37" s="15" t="e">
        <f ca="1"/>
        <v>#NAME?</v>
      </c>
      <c r="O37" s="16" t="e">
        <f ca="1"/>
        <v>#NAME?</v>
      </c>
      <c r="P37" s="17" t="e">
        <f ca="1"/>
        <v>#NAME?</v>
      </c>
      <c r="R37" t="s">
        <v>24</v>
      </c>
      <c r="S37" s="30" t="e">
        <f ca="1">(S30-S32)*(1-S29)*J36/S29</f>
        <v>#NAME?</v>
      </c>
    </row>
    <row r="38" spans="1:19" x14ac:dyDescent="0.35">
      <c r="F38" t="s">
        <v>25</v>
      </c>
      <c r="G38" s="15" t="e">
        <f t="array" aca="1" ref="G38:I38" ca="1">SQRT(DIAG(N35:P37)*J36/(S30-S32))</f>
        <v>#NAME?</v>
      </c>
      <c r="H38" s="16" t="e">
        <f ca="1"/>
        <v>#NAME?</v>
      </c>
      <c r="I38" s="17" t="e">
        <f ca="1"/>
        <v>#NAME?</v>
      </c>
    </row>
    <row r="40" spans="1:19" x14ac:dyDescent="0.35">
      <c r="F40" t="s">
        <v>26</v>
      </c>
    </row>
    <row r="41" spans="1:19" x14ac:dyDescent="0.35">
      <c r="K41" t="s">
        <v>27</v>
      </c>
      <c r="L41" s="11">
        <v>0.05</v>
      </c>
    </row>
    <row r="42" spans="1:19" x14ac:dyDescent="0.35">
      <c r="F42" t="s">
        <v>28</v>
      </c>
      <c r="G42" s="8" t="e">
        <f ca="1">G37-G38*$L43</f>
        <v>#NAME?</v>
      </c>
      <c r="H42" s="9" t="e">
        <f ca="1">H37-H38*$L43</f>
        <v>#NAME?</v>
      </c>
      <c r="I42" s="10" t="e">
        <f ca="1">I37-I38*$L43</f>
        <v>#NAME?</v>
      </c>
      <c r="K42" t="s">
        <v>29</v>
      </c>
      <c r="L42" s="22">
        <f>FINV(L41,S33,S34)</f>
        <v>2.9751539639733933</v>
      </c>
    </row>
    <row r="43" spans="1:19" x14ac:dyDescent="0.35">
      <c r="F43" t="s">
        <v>30</v>
      </c>
      <c r="G43" s="15" t="e">
        <f ca="1">G37+G38*$L43</f>
        <v>#NAME?</v>
      </c>
      <c r="H43" s="16" t="e">
        <f ca="1">H37+H38*$L43</f>
        <v>#NAME?</v>
      </c>
      <c r="I43" s="17" t="e">
        <f ca="1">I37+I38*$L43</f>
        <v>#NAME?</v>
      </c>
      <c r="K43" t="s">
        <v>31</v>
      </c>
      <c r="L43" s="24">
        <f>SQRT(S33*(S30-S32)*L42/S34)</f>
        <v>3.1003283509341952</v>
      </c>
    </row>
    <row r="45" spans="1:19" x14ac:dyDescent="0.35">
      <c r="F45" t="s">
        <v>32</v>
      </c>
    </row>
    <row r="46" spans="1:19" x14ac:dyDescent="0.35">
      <c r="K46" t="s">
        <v>27</v>
      </c>
      <c r="L46" s="11">
        <f>L41/3</f>
        <v>1.6666666666666666E-2</v>
      </c>
    </row>
    <row r="47" spans="1:19" x14ac:dyDescent="0.35">
      <c r="F47" t="s">
        <v>28</v>
      </c>
      <c r="G47" s="8" t="e">
        <f ca="1">G37-G38*$L48</f>
        <v>#NAME?</v>
      </c>
      <c r="H47" s="9" t="e">
        <f ca="1">H37-H38*$L48</f>
        <v>#NAME?</v>
      </c>
      <c r="I47" s="10" t="e">
        <f ca="1">I37-I38*$L48</f>
        <v>#NAME?</v>
      </c>
      <c r="K47" t="s">
        <v>33</v>
      </c>
      <c r="L47" s="22">
        <f>S30-S32</f>
        <v>28</v>
      </c>
    </row>
    <row r="48" spans="1:19" x14ac:dyDescent="0.35">
      <c r="F48" t="s">
        <v>30</v>
      </c>
      <c r="G48" s="15" t="e">
        <f ca="1">G37+G38*$L48</f>
        <v>#NAME?</v>
      </c>
      <c r="H48" s="16" t="e">
        <f ca="1">H37+H38*$L48</f>
        <v>#NAME?</v>
      </c>
      <c r="I48" s="17" t="e">
        <f ca="1">I37+I38*$L48</f>
        <v>#NAME?</v>
      </c>
      <c r="K48" t="s">
        <v>34</v>
      </c>
      <c r="L48" s="24">
        <f>TINV(L46,L47)</f>
        <v>2.5464652227804252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Contrasts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2025-07-16T13:49:18Z</dcterms:created>
  <dcterms:modified xsi:type="dcterms:W3CDTF">2025-07-16T13:51:35Z</dcterms:modified>
</cp:coreProperties>
</file>