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CB14907E-2681-4BDA-874F-CD27A44EF705}" xr6:coauthVersionLast="47" xr6:coauthVersionMax="47" xr10:uidLastSave="{2C8A6913-C179-4B33-8853-1989814041B2}"/>
  <bookViews>
    <workbookView xWindow="-110" yWindow="-110" windowWidth="19420" windowHeight="10300" xr2:uid="{1AF84A3A-4BFF-427A-87C8-0A9606BBFD2B}"/>
  </bookViews>
  <sheets>
    <sheet name="Title" sheetId="6" r:id="rId1"/>
    <sheet name="Corr 1" sheetId="1" r:id="rId2"/>
    <sheet name="Corr 1a" sheetId="2" r:id="rId3"/>
    <sheet name="Corr 2" sheetId="4" r:id="rId4"/>
    <sheet name="Corr 2a" sheetId="5" r:id="rId5"/>
  </sheets>
  <externalReferences>
    <externalReference r:id="rId6"/>
  </externalReferences>
  <definedNames>
    <definedName name="Data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5" l="1"/>
  <c r="D23" i="5"/>
  <c r="D22" i="5"/>
  <c r="D21" i="5"/>
  <c r="D14" i="5"/>
  <c r="D10" i="5"/>
  <c r="D9" i="5"/>
  <c r="D8" i="5"/>
  <c r="AA31" i="4"/>
  <c r="U29" i="4"/>
  <c r="AA27" i="4"/>
  <c r="AA26" i="4"/>
  <c r="AA25" i="4"/>
  <c r="U25" i="4"/>
  <c r="AA24" i="4"/>
  <c r="U24" i="4"/>
  <c r="AA23" i="4"/>
  <c r="U23" i="4"/>
  <c r="AA22" i="4"/>
  <c r="U22" i="4"/>
  <c r="AA21" i="4"/>
  <c r="AA20" i="4"/>
  <c r="U20" i="4"/>
  <c r="AA17" i="4"/>
  <c r="AA16" i="4"/>
  <c r="U16" i="4"/>
  <c r="U15" i="4"/>
  <c r="U14" i="4"/>
  <c r="AF12" i="4"/>
  <c r="AA12" i="4"/>
  <c r="AF11" i="4"/>
  <c r="AA11" i="4"/>
  <c r="AF10" i="4"/>
  <c r="AA10" i="4"/>
  <c r="U10" i="4"/>
  <c r="AF9" i="4"/>
  <c r="AA9" i="4"/>
  <c r="U9" i="4"/>
  <c r="AF8" i="4"/>
  <c r="AA8" i="4"/>
  <c r="U8" i="4"/>
  <c r="AF7" i="4"/>
  <c r="AA7" i="4"/>
  <c r="U7" i="4"/>
  <c r="AF6" i="4"/>
  <c r="AA6" i="4"/>
  <c r="AF5" i="4"/>
  <c r="AA5" i="4"/>
  <c r="U5" i="4"/>
  <c r="M17" i="2" a="1"/>
  <c r="N18" i="2" s="1"/>
  <c r="G17" i="2" a="1"/>
  <c r="G17" i="2" s="1"/>
  <c r="N16" i="2"/>
  <c r="J16" i="2" a="1"/>
  <c r="J16" i="2" s="1"/>
  <c r="H16" i="2"/>
  <c r="D16" i="2" a="1"/>
  <c r="E19" i="2" s="1"/>
  <c r="K7" i="2"/>
  <c r="E7" i="2"/>
  <c r="K6" i="2"/>
  <c r="E6" i="2"/>
  <c r="L33" i="1"/>
  <c r="G31" i="1"/>
  <c r="L29" i="1"/>
  <c r="L28" i="1"/>
  <c r="L27" i="1"/>
  <c r="G27" i="1"/>
  <c r="L26" i="1"/>
  <c r="G26" i="1"/>
  <c r="L25" i="1"/>
  <c r="G25" i="1"/>
  <c r="L24" i="1"/>
  <c r="G24" i="1"/>
  <c r="AI23" i="1"/>
  <c r="AF23" i="1" a="1"/>
  <c r="AG26" i="1" s="1"/>
  <c r="L23" i="1"/>
  <c r="L22" i="1"/>
  <c r="G22" i="1"/>
  <c r="AI17" i="1"/>
  <c r="AF17" i="1" a="1"/>
  <c r="AF20" i="1" s="1"/>
  <c r="G17" i="1"/>
  <c r="L16" i="1"/>
  <c r="G16" i="1"/>
  <c r="AD15" i="1"/>
  <c r="AB15" i="1"/>
  <c r="AD14" i="1"/>
  <c r="AB14" i="1"/>
  <c r="G14" i="1"/>
  <c r="AD12" i="1"/>
  <c r="AB12" i="1"/>
  <c r="Q12" i="1"/>
  <c r="L12" i="1"/>
  <c r="AI11" i="1"/>
  <c r="AF11" i="1" a="1"/>
  <c r="AG14" i="1" s="1"/>
  <c r="AD11" i="1"/>
  <c r="AB11" i="1"/>
  <c r="Q11" i="1"/>
  <c r="L11" i="1"/>
  <c r="Q10" i="1"/>
  <c r="L10" i="1"/>
  <c r="G10" i="1"/>
  <c r="AD9" i="1"/>
  <c r="AB9" i="1"/>
  <c r="Q9" i="1"/>
  <c r="L9" i="1"/>
  <c r="G9" i="1"/>
  <c r="AD8" i="1"/>
  <c r="AB8" i="1"/>
  <c r="Q8" i="1"/>
  <c r="L8" i="1"/>
  <c r="G8" i="1"/>
  <c r="Q7" i="1"/>
  <c r="L7" i="1"/>
  <c r="G7" i="1"/>
  <c r="AD6" i="1"/>
  <c r="AB6" i="1"/>
  <c r="Q6" i="1"/>
  <c r="L6" i="1"/>
  <c r="AI5" i="1"/>
  <c r="AF5" i="1" a="1"/>
  <c r="AG8" i="1" s="1"/>
  <c r="AD5" i="1"/>
  <c r="AB5" i="1"/>
  <c r="Q5" i="1"/>
  <c r="L5" i="1"/>
  <c r="G5" i="1"/>
  <c r="B21" i="5"/>
  <c r="B25" i="5" s="1"/>
  <c r="B12" i="5"/>
  <c r="B9" i="5"/>
  <c r="B10" i="5" s="1"/>
  <c r="B13" i="5" s="1"/>
  <c r="B14" i="5" s="1"/>
  <c r="B8" i="5"/>
  <c r="Y29" i="4"/>
  <c r="S27" i="4"/>
  <c r="S22" i="4"/>
  <c r="S23" i="4" s="1"/>
  <c r="S24" i="4" s="1"/>
  <c r="Y21" i="4"/>
  <c r="Y23" i="4" s="1"/>
  <c r="Y20" i="4"/>
  <c r="Y22" i="4" s="1"/>
  <c r="S20" i="4"/>
  <c r="Y14" i="4"/>
  <c r="AD6" i="4" s="1"/>
  <c r="Y10" i="4"/>
  <c r="Y11" i="4" s="1"/>
  <c r="AD7" i="4" s="1"/>
  <c r="S8" i="4"/>
  <c r="S7" i="4"/>
  <c r="Y6" i="4"/>
  <c r="Y8" i="4" s="1"/>
  <c r="S5" i="4"/>
  <c r="K5" i="2"/>
  <c r="E5" i="2"/>
  <c r="H15" i="2" s="1"/>
  <c r="J78" i="1"/>
  <c r="J74" i="1"/>
  <c r="G68" i="1"/>
  <c r="G69" i="1" s="1"/>
  <c r="G70" i="1" s="1"/>
  <c r="G71" i="1" s="1"/>
  <c r="H64" i="1"/>
  <c r="H63" i="1"/>
  <c r="I62" i="1"/>
  <c r="I67" i="1" s="1"/>
  <c r="H62" i="1"/>
  <c r="G44" i="1"/>
  <c r="G45" i="1" s="1"/>
  <c r="G46" i="1" s="1"/>
  <c r="G47" i="1" s="1"/>
  <c r="H40" i="1"/>
  <c r="H39" i="1"/>
  <c r="J46" i="1" s="1"/>
  <c r="I38" i="1"/>
  <c r="I43" i="1" s="1"/>
  <c r="H38" i="1"/>
  <c r="J31" i="1"/>
  <c r="E29" i="1"/>
  <c r="J27" i="1"/>
  <c r="J28" i="1" s="1"/>
  <c r="J25" i="1"/>
  <c r="E25" i="1"/>
  <c r="E24" i="1"/>
  <c r="J23" i="1"/>
  <c r="E22" i="1"/>
  <c r="J14" i="1"/>
  <c r="J8" i="1"/>
  <c r="E7" i="1"/>
  <c r="E8" i="1" s="1"/>
  <c r="E12" i="1" s="1"/>
  <c r="O6" i="1"/>
  <c r="J6" i="1"/>
  <c r="E5" i="1"/>
  <c r="H17" i="2" l="1"/>
  <c r="G18" i="2"/>
  <c r="M19" i="2"/>
  <c r="N19" i="2"/>
  <c r="M20" i="2"/>
  <c r="H18" i="2"/>
  <c r="G19" i="2"/>
  <c r="AF17" i="1"/>
  <c r="H19" i="2"/>
  <c r="AG17" i="1"/>
  <c r="G20" i="2"/>
  <c r="AF18" i="1"/>
  <c r="H20" i="2"/>
  <c r="AG20" i="1"/>
  <c r="AG23" i="1"/>
  <c r="AG11" i="1"/>
  <c r="AG18" i="1"/>
  <c r="AF24" i="1"/>
  <c r="D16" i="2"/>
  <c r="J17" i="2"/>
  <c r="N20" i="2"/>
  <c r="AF5" i="1"/>
  <c r="AF12" i="1"/>
  <c r="AF19" i="1"/>
  <c r="AG24" i="1"/>
  <c r="E16" i="2"/>
  <c r="K17" i="2"/>
  <c r="AG5" i="1"/>
  <c r="AG12" i="1"/>
  <c r="AG19" i="1"/>
  <c r="AF25" i="1"/>
  <c r="D17" i="2"/>
  <c r="J18" i="2"/>
  <c r="AF6" i="1"/>
  <c r="AF13" i="1"/>
  <c r="AG25" i="1"/>
  <c r="E17" i="2"/>
  <c r="K18" i="2"/>
  <c r="AF14" i="1"/>
  <c r="AF23" i="1"/>
  <c r="AF11" i="1"/>
  <c r="K16" i="2"/>
  <c r="AG6" i="1"/>
  <c r="AG13" i="1"/>
  <c r="AF26" i="1"/>
  <c r="D18" i="2"/>
  <c r="J19" i="2"/>
  <c r="AF7" i="1"/>
  <c r="E18" i="2"/>
  <c r="K19" i="2"/>
  <c r="M17" i="2"/>
  <c r="AG7" i="1"/>
  <c r="D19" i="2"/>
  <c r="N17" i="2"/>
  <c r="AF8" i="1"/>
  <c r="M18" i="2"/>
  <c r="J81" i="1"/>
  <c r="J77" i="1"/>
  <c r="J73" i="1"/>
  <c r="J69" i="1"/>
  <c r="J79" i="1"/>
  <c r="J75" i="1"/>
  <c r="J71" i="1"/>
  <c r="J67" i="1"/>
  <c r="J80" i="1"/>
  <c r="J76" i="1"/>
  <c r="J72" i="1"/>
  <c r="J68" i="1"/>
  <c r="J10" i="1"/>
  <c r="J11" i="1" s="1"/>
  <c r="O7" i="1" s="1"/>
  <c r="G72" i="1"/>
  <c r="I71" i="1"/>
  <c r="N15" i="2"/>
  <c r="K14" i="2"/>
  <c r="J5" i="1"/>
  <c r="J7" i="1" s="1"/>
  <c r="E9" i="1"/>
  <c r="E10" i="1" s="1"/>
  <c r="E13" i="1" s="1"/>
  <c r="E14" i="1" s="1"/>
  <c r="I69" i="1"/>
  <c r="J57" i="1"/>
  <c r="J53" i="1"/>
  <c r="J49" i="1"/>
  <c r="J45" i="1"/>
  <c r="J55" i="1"/>
  <c r="J51" i="1"/>
  <c r="J47" i="1"/>
  <c r="J43" i="1"/>
  <c r="J56" i="1"/>
  <c r="J52" i="1"/>
  <c r="J48" i="1"/>
  <c r="J44" i="1"/>
  <c r="G48" i="1"/>
  <c r="I47" i="1"/>
  <c r="I45" i="1"/>
  <c r="I46" i="1"/>
  <c r="I70" i="1"/>
  <c r="J50" i="1"/>
  <c r="J70" i="1"/>
  <c r="S25" i="4"/>
  <c r="S28" i="4" s="1"/>
  <c r="S29" i="4" s="1"/>
  <c r="J54" i="1"/>
  <c r="S12" i="4"/>
  <c r="S15" i="4" s="1"/>
  <c r="S9" i="4"/>
  <c r="S10" i="4" s="1"/>
  <c r="S13" i="4" s="1"/>
  <c r="S14" i="4" s="1"/>
  <c r="Y27" i="4"/>
  <c r="Y30" i="4" s="1"/>
  <c r="Y31" i="4" s="1"/>
  <c r="Y25" i="4"/>
  <c r="Y26" i="4" s="1"/>
  <c r="Y5" i="4"/>
  <c r="Y7" i="4" s="1"/>
  <c r="B22" i="5"/>
  <c r="B23" i="5" s="1"/>
  <c r="B26" i="5" s="1"/>
  <c r="B27" i="5" s="1"/>
  <c r="E26" i="1"/>
  <c r="E27" i="1" s="1"/>
  <c r="E30" i="1" s="1"/>
  <c r="E31" i="1" s="1"/>
  <c r="E14" i="2"/>
  <c r="J22" i="1"/>
  <c r="J24" i="1" s="1"/>
  <c r="J29" i="1" s="1"/>
  <c r="J32" i="1" s="1"/>
  <c r="J33" i="1" s="1"/>
  <c r="I44" i="1"/>
  <c r="I68" i="1"/>
  <c r="E15" i="2" l="1"/>
  <c r="G49" i="1"/>
  <c r="I48" i="1"/>
  <c r="K15" i="2"/>
  <c r="G73" i="1"/>
  <c r="I72" i="1"/>
  <c r="O5" i="1"/>
  <c r="J12" i="1"/>
  <c r="J15" i="1" s="1"/>
  <c r="J16" i="1" s="1"/>
  <c r="Y12" i="4"/>
  <c r="Y15" i="4" s="1"/>
  <c r="Y16" i="4" s="1"/>
  <c r="AD5" i="4"/>
  <c r="E17" i="1"/>
  <c r="S16" i="4"/>
  <c r="E16" i="1"/>
  <c r="AD10" i="4" l="1"/>
  <c r="AD12" i="4" s="1"/>
  <c r="AD9" i="4"/>
  <c r="AD11" i="4" s="1"/>
  <c r="O9" i="1"/>
  <c r="O11" i="1" s="1"/>
  <c r="O10" i="1"/>
  <c r="O12" i="1" s="1"/>
  <c r="G74" i="1"/>
  <c r="I73" i="1"/>
  <c r="G50" i="1"/>
  <c r="I49" i="1"/>
  <c r="G51" i="1" l="1"/>
  <c r="I50" i="1"/>
  <c r="G75" i="1"/>
  <c r="I74" i="1"/>
  <c r="G76" i="1" l="1"/>
  <c r="I75" i="1"/>
  <c r="G52" i="1"/>
  <c r="I51" i="1"/>
  <c r="G53" i="1" l="1"/>
  <c r="I52" i="1"/>
  <c r="G77" i="1"/>
  <c r="I76" i="1"/>
  <c r="G78" i="1" l="1"/>
  <c r="I77" i="1"/>
  <c r="G54" i="1"/>
  <c r="I53" i="1"/>
  <c r="G55" i="1" l="1"/>
  <c r="I54" i="1"/>
  <c r="G79" i="1"/>
  <c r="I78" i="1"/>
  <c r="G80" i="1" l="1"/>
  <c r="I79" i="1"/>
  <c r="G56" i="1"/>
  <c r="I55" i="1"/>
  <c r="G57" i="1" l="1"/>
  <c r="I57" i="1" s="1"/>
  <c r="I56" i="1"/>
  <c r="G81" i="1"/>
  <c r="I81" i="1" s="1"/>
  <c r="I80" i="1"/>
</calcChain>
</file>

<file path=xl/sharedStrings.xml><?xml version="1.0" encoding="utf-8"?>
<sst xmlns="http://schemas.openxmlformats.org/spreadsheetml/2006/main" count="297" uniqueCount="135">
  <si>
    <t>Correlation: One Sample Hypothesis Testing</t>
  </si>
  <si>
    <t># Cig</t>
  </si>
  <si>
    <t>Life Exp</t>
  </si>
  <si>
    <t>t test (two-tail)</t>
  </si>
  <si>
    <t>normal test (two-tail)</t>
  </si>
  <si>
    <t>confidence interval</t>
  </si>
  <si>
    <t>Real Statistics functions</t>
  </si>
  <si>
    <t>Real Statistics array functions</t>
  </si>
  <si>
    <t>r</t>
  </si>
  <si>
    <t>r'</t>
  </si>
  <si>
    <t>ρ</t>
  </si>
  <si>
    <t>z-crit</t>
  </si>
  <si>
    <t>n</t>
  </si>
  <si>
    <r>
      <t>s</t>
    </r>
    <r>
      <rPr>
        <vertAlign val="subscript"/>
        <sz val="11"/>
        <color theme="1"/>
        <rFont val="Aptos Narrow"/>
        <family val="2"/>
        <scheme val="minor"/>
      </rPr>
      <t>r'</t>
    </r>
  </si>
  <si>
    <t>df</t>
  </si>
  <si>
    <t>ρ'</t>
  </si>
  <si>
    <r>
      <t>s</t>
    </r>
    <r>
      <rPr>
        <vertAlign val="subscript"/>
        <sz val="11"/>
        <color theme="1"/>
        <rFont val="Aptos Narrow"/>
        <family val="2"/>
        <scheme val="minor"/>
      </rPr>
      <t>r</t>
    </r>
  </si>
  <si>
    <t>lower ρ'</t>
  </si>
  <si>
    <t>t</t>
  </si>
  <si>
    <t>upper ρ'</t>
  </si>
  <si>
    <t>α</t>
  </si>
  <si>
    <t>lower ρ</t>
  </si>
  <si>
    <t>t-crit</t>
  </si>
  <si>
    <t>=T.INV.2T(E11,E8)</t>
  </si>
  <si>
    <t>z</t>
  </si>
  <si>
    <t>upper ρ</t>
  </si>
  <si>
    <t>p-value</t>
  </si>
  <si>
    <t>=T.DIST.2T(ABS(E10),E8)</t>
  </si>
  <si>
    <t>sig</t>
  </si>
  <si>
    <t>=NORM.S.INV(J13/2)</t>
  </si>
  <si>
    <t>=2*NORM.S.DIST(J12,TRUE)</t>
  </si>
  <si>
    <t>lower</t>
  </si>
  <si>
    <t>upper</t>
  </si>
  <si>
    <t>t test (one-tail)</t>
  </si>
  <si>
    <t>normal test (one-tail)</t>
  </si>
  <si>
    <t>=T.INV(1-E11,E8)</t>
  </si>
  <si>
    <t>=T.DIST.RT(ABS(E10),E8)</t>
  </si>
  <si>
    <t>=NORM.S.INV(J13)</t>
  </si>
  <si>
    <t>=NORM.S.DIST(J12,TRUE)</t>
  </si>
  <si>
    <t>QQ Tables</t>
  </si>
  <si>
    <t>Count</t>
  </si>
  <si>
    <t>Mean</t>
  </si>
  <si>
    <t>Std Dev</t>
  </si>
  <si>
    <t>Interval</t>
  </si>
  <si>
    <t>Data</t>
  </si>
  <si>
    <t>Std Norm</t>
  </si>
  <si>
    <t>Std Data</t>
  </si>
  <si>
    <t>Correlation: One Sample Hypothesis Testing using Real Statistics data analysis tool</t>
  </si>
  <si>
    <t>Correlation Coefficients</t>
  </si>
  <si>
    <t>Pearson</t>
  </si>
  <si>
    <t>Spearman</t>
  </si>
  <si>
    <t>Kendall</t>
  </si>
  <si>
    <t>Pearson's coeff (t test)</t>
  </si>
  <si>
    <t>Pearson's coeff (Fisher)</t>
  </si>
  <si>
    <t>Alpha</t>
  </si>
  <si>
    <t>Rho</t>
  </si>
  <si>
    <t>Tails</t>
  </si>
  <si>
    <t>corr</t>
  </si>
  <si>
    <t>std err</t>
  </si>
  <si>
    <t>State Rankings</t>
  </si>
  <si>
    <t>State</t>
  </si>
  <si>
    <t>Poverty</t>
  </si>
  <si>
    <t>Infant Mort</t>
  </si>
  <si>
    <t>t-test (two-tail)</t>
  </si>
  <si>
    <t>Alabama</t>
  </si>
  <si>
    <t>Montana</t>
  </si>
  <si>
    <t>Alaska</t>
  </si>
  <si>
    <t>Nebraska</t>
  </si>
  <si>
    <t>Arizona</t>
  </si>
  <si>
    <t>Nevada</t>
  </si>
  <si>
    <t>Arkansas</t>
  </si>
  <si>
    <t>New Hampshire</t>
  </si>
  <si>
    <t>California</t>
  </si>
  <si>
    <t>New Jersey</t>
  </si>
  <si>
    <t>Colorado</t>
  </si>
  <si>
    <t>New Mexico</t>
  </si>
  <si>
    <t>Connecticut</t>
  </si>
  <si>
    <t>New York</t>
  </si>
  <si>
    <t>Delaware</t>
  </si>
  <si>
    <t>North Carolina</t>
  </si>
  <si>
    <t>Florida</t>
  </si>
  <si>
    <t>North Dakota</t>
  </si>
  <si>
    <t>=T.INV.2T(S11,S8)</t>
  </si>
  <si>
    <t>Georgia</t>
  </si>
  <si>
    <t>Ohio</t>
  </si>
  <si>
    <t>=T.DIST.2T(S10,S8)</t>
  </si>
  <si>
    <t>Hawaii</t>
  </si>
  <si>
    <t>Oklahoma</t>
  </si>
  <si>
    <t>=NORM.S.INV(1-Y13/2)</t>
  </si>
  <si>
    <t>Idaho</t>
  </si>
  <si>
    <t>Oregon</t>
  </si>
  <si>
    <t>=2*(1-NORM.S.DIST(Y12,TRUE))</t>
  </si>
  <si>
    <t>Illinois</t>
  </si>
  <si>
    <t>Pennsylvania</t>
  </si>
  <si>
    <t>Indiana</t>
  </si>
  <si>
    <t>Rhode Island</t>
  </si>
  <si>
    <t>Iowa</t>
  </si>
  <si>
    <t>South Carolina</t>
  </si>
  <si>
    <t>t-test (one-tail)</t>
  </si>
  <si>
    <t>Kansas</t>
  </si>
  <si>
    <t>South Dakota</t>
  </si>
  <si>
    <t>Kentucky</t>
  </si>
  <si>
    <t>Tennessee</t>
  </si>
  <si>
    <t>Louisiana</t>
  </si>
  <si>
    <t>Texas</t>
  </si>
  <si>
    <t>Maine</t>
  </si>
  <si>
    <t>Utah</t>
  </si>
  <si>
    <t>Maryland</t>
  </si>
  <si>
    <t>Vermont</t>
  </si>
  <si>
    <t>Massachusetts</t>
  </si>
  <si>
    <t>Virginia</t>
  </si>
  <si>
    <t>Michigan</t>
  </si>
  <si>
    <t>Washington</t>
  </si>
  <si>
    <t>Minnesota</t>
  </si>
  <si>
    <t>West Virginia</t>
  </si>
  <si>
    <t>Mississippi</t>
  </si>
  <si>
    <t>Wisconsin</t>
  </si>
  <si>
    <t>=T.INV(1-S26,S23)</t>
  </si>
  <si>
    <t>Missouri</t>
  </si>
  <si>
    <t>Wyoming</t>
  </si>
  <si>
    <t>=T.DIST.RT(S25,S23)</t>
  </si>
  <si>
    <t>=NORM.S.INV(1-Y28)</t>
  </si>
  <si>
    <t>=1-NORM.S.DIST(Y27,TRUE)</t>
  </si>
  <si>
    <t>Poverty - % below poverty level</t>
  </si>
  <si>
    <t>Infant Mort - infant mortality per 1,000 births, death prior to 1 yr, excludes fetal death, residents only</t>
  </si>
  <si>
    <t>two-tail</t>
  </si>
  <si>
    <t>=T.INV.2T(B11,B8)</t>
  </si>
  <si>
    <t>=T.DIST.2T(ABS(B10),B8)</t>
  </si>
  <si>
    <t>one-tail</t>
  </si>
  <si>
    <t>=T.INV(1-B24,B21)</t>
  </si>
  <si>
    <t>=T.DIST.RT(ABS(B23),B21)</t>
  </si>
  <si>
    <t>Real Statistics Using Excel</t>
  </si>
  <si>
    <t>Updated</t>
  </si>
  <si>
    <t>Copyright © 2013 - 2025 Charles Zaiontz</t>
  </si>
  <si>
    <t>Correlation testing via t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</si>
</sst>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0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Courier New"/>
      <family val="3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3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left"/>
    </xf>
    <xf numFmtId="0" fontId="0" fillId="0" borderId="4" xfId="0" applyBorder="1"/>
    <xf numFmtId="0" fontId="0" fillId="0" borderId="5" xfId="0" applyBorder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quotePrefix="1"/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7" fillId="0" borderId="0" xfId="0" applyFont="1"/>
    <xf numFmtId="0" fontId="6" fillId="0" borderId="0" xfId="0" applyFont="1"/>
    <xf numFmtId="0" fontId="6" fillId="0" borderId="0" xfId="1" applyFont="1" applyAlignment="1">
      <alignment horizontal="right"/>
    </xf>
    <xf numFmtId="164" fontId="6" fillId="0" borderId="0" xfId="1" quotePrefix="1" applyNumberFormat="1" applyFont="1" applyAlignment="1">
      <alignment horizontal="right"/>
    </xf>
    <xf numFmtId="165" fontId="6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6" fillId="0" borderId="6" xfId="0" applyFont="1" applyBorder="1"/>
    <xf numFmtId="0" fontId="6" fillId="0" borderId="6" xfId="1" applyFont="1" applyBorder="1" applyAlignment="1">
      <alignment horizontal="right"/>
    </xf>
    <xf numFmtId="164" fontId="6" fillId="0" borderId="6" xfId="1" quotePrefix="1" applyNumberFormat="1" applyFont="1" applyBorder="1" applyAlignment="1">
      <alignment horizontal="right"/>
    </xf>
    <xf numFmtId="15" fontId="0" fillId="0" borderId="0" xfId="0" applyNumberFormat="1"/>
    <xf numFmtId="0" fontId="9" fillId="0" borderId="0" xfId="0" applyFont="1"/>
  </cellXfs>
  <cellStyles count="2">
    <cellStyle name="Normal" xfId="0" builtinId="0"/>
    <cellStyle name="Normal 2" xfId="1" xr:uid="{E9473C27-D83C-4A25-9DF9-7832E7490A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Longevity v. Smoking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'Corr 1'!$B$3</c:f>
              <c:strCache>
                <c:ptCount val="1"/>
                <c:pt idx="0">
                  <c:v>Life Exp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'Corr 1'!$A$4:$A$18</c:f>
              <c:numCache>
                <c:formatCode>General</c:formatCode>
                <c:ptCount val="15"/>
                <c:pt idx="0">
                  <c:v>5</c:v>
                </c:pt>
                <c:pt idx="1">
                  <c:v>23</c:v>
                </c:pt>
                <c:pt idx="2">
                  <c:v>25</c:v>
                </c:pt>
                <c:pt idx="3">
                  <c:v>48</c:v>
                </c:pt>
                <c:pt idx="4">
                  <c:v>17</c:v>
                </c:pt>
                <c:pt idx="5">
                  <c:v>8</c:v>
                </c:pt>
                <c:pt idx="6">
                  <c:v>4</c:v>
                </c:pt>
                <c:pt idx="7">
                  <c:v>26</c:v>
                </c:pt>
                <c:pt idx="8">
                  <c:v>11</c:v>
                </c:pt>
                <c:pt idx="9">
                  <c:v>19</c:v>
                </c:pt>
                <c:pt idx="10">
                  <c:v>14</c:v>
                </c:pt>
                <c:pt idx="11">
                  <c:v>35</c:v>
                </c:pt>
                <c:pt idx="12">
                  <c:v>29</c:v>
                </c:pt>
                <c:pt idx="13">
                  <c:v>4</c:v>
                </c:pt>
                <c:pt idx="14">
                  <c:v>23</c:v>
                </c:pt>
              </c:numCache>
            </c:numRef>
          </c:xVal>
          <c:yVal>
            <c:numRef>
              <c:f>'Corr 1'!$B$4:$B$18</c:f>
              <c:numCache>
                <c:formatCode>General</c:formatCode>
                <c:ptCount val="15"/>
                <c:pt idx="0">
                  <c:v>80</c:v>
                </c:pt>
                <c:pt idx="1">
                  <c:v>78</c:v>
                </c:pt>
                <c:pt idx="2">
                  <c:v>60</c:v>
                </c:pt>
                <c:pt idx="3">
                  <c:v>53</c:v>
                </c:pt>
                <c:pt idx="4">
                  <c:v>85</c:v>
                </c:pt>
                <c:pt idx="5">
                  <c:v>84</c:v>
                </c:pt>
                <c:pt idx="6">
                  <c:v>73</c:v>
                </c:pt>
                <c:pt idx="7">
                  <c:v>79</c:v>
                </c:pt>
                <c:pt idx="8">
                  <c:v>81</c:v>
                </c:pt>
                <c:pt idx="9">
                  <c:v>75</c:v>
                </c:pt>
                <c:pt idx="10">
                  <c:v>68</c:v>
                </c:pt>
                <c:pt idx="11">
                  <c:v>72</c:v>
                </c:pt>
                <c:pt idx="12">
                  <c:v>58</c:v>
                </c:pt>
                <c:pt idx="13">
                  <c:v>92</c:v>
                </c:pt>
                <c:pt idx="14">
                  <c:v>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088-4936-A4F3-EA391AD76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005648"/>
        <c:axId val="751006432"/>
      </c:scatterChart>
      <c:valAx>
        <c:axId val="751005648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Cigarettes Smoked (per day)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51006432"/>
        <c:crosses val="autoZero"/>
        <c:crossBetween val="midCat"/>
      </c:valAx>
      <c:valAx>
        <c:axId val="7510064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Life Expectancy (years)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510056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QQ Plot - Cigarettes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'Corr 1'!$H$43:$H$57</c:f>
              <c:numCache>
                <c:formatCode>General</c:formatCode>
                <c:ptCount val="15"/>
                <c:pt idx="0">
                  <c:v>4</c:v>
                </c:pt>
                <c:pt idx="1">
                  <c:v>4</c:v>
                </c:pt>
                <c:pt idx="2">
                  <c:v>5</c:v>
                </c:pt>
                <c:pt idx="3">
                  <c:v>8</c:v>
                </c:pt>
                <c:pt idx="4">
                  <c:v>11</c:v>
                </c:pt>
                <c:pt idx="5">
                  <c:v>14</c:v>
                </c:pt>
                <c:pt idx="6">
                  <c:v>17</c:v>
                </c:pt>
                <c:pt idx="7">
                  <c:v>19</c:v>
                </c:pt>
                <c:pt idx="8">
                  <c:v>23</c:v>
                </c:pt>
                <c:pt idx="9">
                  <c:v>23</c:v>
                </c:pt>
                <c:pt idx="10">
                  <c:v>25</c:v>
                </c:pt>
                <c:pt idx="11">
                  <c:v>26</c:v>
                </c:pt>
                <c:pt idx="12">
                  <c:v>29</c:v>
                </c:pt>
                <c:pt idx="13">
                  <c:v>35</c:v>
                </c:pt>
                <c:pt idx="14">
                  <c:v>48</c:v>
                </c:pt>
              </c:numCache>
            </c:numRef>
          </c:xVal>
          <c:yVal>
            <c:numRef>
              <c:f>'Corr 1'!$I$43:$I$57</c:f>
              <c:numCache>
                <c:formatCode>General</c:formatCode>
                <c:ptCount val="15"/>
                <c:pt idx="0">
                  <c:v>-1.8339146358159142</c:v>
                </c:pt>
                <c:pt idx="1">
                  <c:v>-1.2815515655446006</c:v>
                </c:pt>
                <c:pt idx="2">
                  <c:v>-0.96742156610170071</c:v>
                </c:pt>
                <c:pt idx="3">
                  <c:v>-0.72791329088164469</c:v>
                </c:pt>
                <c:pt idx="4">
                  <c:v>-0.52440051270804089</c:v>
                </c:pt>
                <c:pt idx="5">
                  <c:v>-0.34069482708779553</c:v>
                </c:pt>
                <c:pt idx="6">
                  <c:v>-0.16789400478810546</c:v>
                </c:pt>
                <c:pt idx="7">
                  <c:v>0</c:v>
                </c:pt>
                <c:pt idx="8">
                  <c:v>0.16789400478810546</c:v>
                </c:pt>
                <c:pt idx="9">
                  <c:v>0.34069482708779542</c:v>
                </c:pt>
                <c:pt idx="10">
                  <c:v>0.52440051270804078</c:v>
                </c:pt>
                <c:pt idx="11">
                  <c:v>0.72791329088164458</c:v>
                </c:pt>
                <c:pt idx="12">
                  <c:v>0.96742156610170071</c:v>
                </c:pt>
                <c:pt idx="13">
                  <c:v>1.2815515655446006</c:v>
                </c:pt>
                <c:pt idx="14">
                  <c:v>1.8339146358159142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CA6-4C5C-A2FA-EFA568825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0309256"/>
        <c:axId val="460309648"/>
      </c:scatterChart>
      <c:valAx>
        <c:axId val="460309256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60309648"/>
        <c:crosses val="autoZero"/>
        <c:crossBetween val="midCat"/>
      </c:valAx>
      <c:valAx>
        <c:axId val="4603096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Std Normal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603092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QQ Plot - Longevity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'Corr 1'!$H$67:$H$81</c:f>
              <c:numCache>
                <c:formatCode>General</c:formatCode>
                <c:ptCount val="15"/>
                <c:pt idx="0">
                  <c:v>53</c:v>
                </c:pt>
                <c:pt idx="1">
                  <c:v>58</c:v>
                </c:pt>
                <c:pt idx="2">
                  <c:v>60</c:v>
                </c:pt>
                <c:pt idx="3">
                  <c:v>65</c:v>
                </c:pt>
                <c:pt idx="4">
                  <c:v>68</c:v>
                </c:pt>
                <c:pt idx="5">
                  <c:v>72</c:v>
                </c:pt>
                <c:pt idx="6">
                  <c:v>73</c:v>
                </c:pt>
                <c:pt idx="7">
                  <c:v>75</c:v>
                </c:pt>
                <c:pt idx="8">
                  <c:v>78</c:v>
                </c:pt>
                <c:pt idx="9">
                  <c:v>79</c:v>
                </c:pt>
                <c:pt idx="10">
                  <c:v>80</c:v>
                </c:pt>
                <c:pt idx="11">
                  <c:v>81</c:v>
                </c:pt>
                <c:pt idx="12">
                  <c:v>84</c:v>
                </c:pt>
                <c:pt idx="13">
                  <c:v>85</c:v>
                </c:pt>
                <c:pt idx="14">
                  <c:v>92</c:v>
                </c:pt>
              </c:numCache>
            </c:numRef>
          </c:xVal>
          <c:yVal>
            <c:numRef>
              <c:f>'Corr 1'!$I$67:$I$81</c:f>
              <c:numCache>
                <c:formatCode>General</c:formatCode>
                <c:ptCount val="15"/>
                <c:pt idx="0">
                  <c:v>-1.8339146358159142</c:v>
                </c:pt>
                <c:pt idx="1">
                  <c:v>-1.2815515655446006</c:v>
                </c:pt>
                <c:pt idx="2">
                  <c:v>-0.96742156610170071</c:v>
                </c:pt>
                <c:pt idx="3">
                  <c:v>-0.72791329088164469</c:v>
                </c:pt>
                <c:pt idx="4">
                  <c:v>-0.52440051270804089</c:v>
                </c:pt>
                <c:pt idx="5">
                  <c:v>-0.34069482708779553</c:v>
                </c:pt>
                <c:pt idx="6">
                  <c:v>-0.16789400478810546</c:v>
                </c:pt>
                <c:pt idx="7">
                  <c:v>0</c:v>
                </c:pt>
                <c:pt idx="8">
                  <c:v>0.16789400478810546</c:v>
                </c:pt>
                <c:pt idx="9">
                  <c:v>0.34069482708779542</c:v>
                </c:pt>
                <c:pt idx="10">
                  <c:v>0.52440051270804078</c:v>
                </c:pt>
                <c:pt idx="11">
                  <c:v>0.72791329088164458</c:v>
                </c:pt>
                <c:pt idx="12">
                  <c:v>0.96742156610170071</c:v>
                </c:pt>
                <c:pt idx="13">
                  <c:v>1.2815515655446006</c:v>
                </c:pt>
                <c:pt idx="14">
                  <c:v>1.8339146358159142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A0F-456E-A719-94A0EBCEC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928648"/>
        <c:axId val="750930216"/>
      </c:scatterChart>
      <c:valAx>
        <c:axId val="750928648"/>
        <c:scaling>
          <c:orientation val="minMax"/>
          <c:min val="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50930216"/>
        <c:crosses val="autoZero"/>
        <c:crossBetween val="midCat"/>
      </c:valAx>
      <c:valAx>
        <c:axId val="750930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Std Normal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509286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'[1]Corr 2'!$B$4:$B$53</c:f>
              <c:numCache>
                <c:formatCode>General</c:formatCode>
                <c:ptCount val="50"/>
                <c:pt idx="0">
                  <c:v>15.7</c:v>
                </c:pt>
                <c:pt idx="1">
                  <c:v>8.4</c:v>
                </c:pt>
                <c:pt idx="2">
                  <c:v>14.7</c:v>
                </c:pt>
                <c:pt idx="3">
                  <c:v>17.3</c:v>
                </c:pt>
                <c:pt idx="4">
                  <c:v>13.3</c:v>
                </c:pt>
                <c:pt idx="5">
                  <c:v>11.4</c:v>
                </c:pt>
                <c:pt idx="6">
                  <c:v>9.3000000000000007</c:v>
                </c:pt>
                <c:pt idx="7" formatCode="#,##0.0">
                  <c:v>10</c:v>
                </c:pt>
                <c:pt idx="8">
                  <c:v>13.2</c:v>
                </c:pt>
                <c:pt idx="9">
                  <c:v>14.7</c:v>
                </c:pt>
                <c:pt idx="10">
                  <c:v>9.1</c:v>
                </c:pt>
                <c:pt idx="11">
                  <c:v>12.6</c:v>
                </c:pt>
                <c:pt idx="12">
                  <c:v>12.2</c:v>
                </c:pt>
                <c:pt idx="13">
                  <c:v>13.1</c:v>
                </c:pt>
                <c:pt idx="14">
                  <c:v>11.5</c:v>
                </c:pt>
                <c:pt idx="15">
                  <c:v>11.3</c:v>
                </c:pt>
                <c:pt idx="16">
                  <c:v>17.3</c:v>
                </c:pt>
                <c:pt idx="17">
                  <c:v>17.3</c:v>
                </c:pt>
                <c:pt idx="18">
                  <c:v>12.3</c:v>
                </c:pt>
                <c:pt idx="19">
                  <c:v>8.1</c:v>
                </c:pt>
                <c:pt idx="20" formatCode="#,##0.0">
                  <c:v>10</c:v>
                </c:pt>
                <c:pt idx="21">
                  <c:v>14.4</c:v>
                </c:pt>
                <c:pt idx="22">
                  <c:v>9.6</c:v>
                </c:pt>
                <c:pt idx="23">
                  <c:v>21.2</c:v>
                </c:pt>
                <c:pt idx="24">
                  <c:v>13.4</c:v>
                </c:pt>
                <c:pt idx="25">
                  <c:v>14.8</c:v>
                </c:pt>
                <c:pt idx="26">
                  <c:v>10.8</c:v>
                </c:pt>
                <c:pt idx="27">
                  <c:v>11.3</c:v>
                </c:pt>
                <c:pt idx="28">
                  <c:v>7.6</c:v>
                </c:pt>
                <c:pt idx="29">
                  <c:v>8.6999999999999993</c:v>
                </c:pt>
                <c:pt idx="30">
                  <c:v>17.100000000000001</c:v>
                </c:pt>
                <c:pt idx="31">
                  <c:v>13.6</c:v>
                </c:pt>
                <c:pt idx="32">
                  <c:v>14.6</c:v>
                </c:pt>
                <c:pt idx="33" formatCode="0.0">
                  <c:v>12</c:v>
                </c:pt>
                <c:pt idx="34">
                  <c:v>13.4</c:v>
                </c:pt>
                <c:pt idx="35">
                  <c:v>15.9</c:v>
                </c:pt>
                <c:pt idx="36">
                  <c:v>13.6</c:v>
                </c:pt>
                <c:pt idx="37">
                  <c:v>12.1</c:v>
                </c:pt>
                <c:pt idx="38">
                  <c:v>11.7</c:v>
                </c:pt>
                <c:pt idx="39">
                  <c:v>15.7</c:v>
                </c:pt>
                <c:pt idx="40">
                  <c:v>12.5</c:v>
                </c:pt>
                <c:pt idx="41">
                  <c:v>15.5</c:v>
                </c:pt>
                <c:pt idx="42">
                  <c:v>15.8</c:v>
                </c:pt>
                <c:pt idx="43">
                  <c:v>9.6</c:v>
                </c:pt>
                <c:pt idx="44">
                  <c:v>10.6</c:v>
                </c:pt>
                <c:pt idx="45">
                  <c:v>10.199999999999999</c:v>
                </c:pt>
                <c:pt idx="46">
                  <c:v>11.3</c:v>
                </c:pt>
                <c:pt idx="47" formatCode="0.0">
                  <c:v>17</c:v>
                </c:pt>
                <c:pt idx="48">
                  <c:v>10.4</c:v>
                </c:pt>
                <c:pt idx="49">
                  <c:v>9.4</c:v>
                </c:pt>
              </c:numCache>
            </c:numRef>
          </c:xVal>
          <c:yVal>
            <c:numRef>
              <c:f>'[1]Corr 2'!$C$4:$C$53</c:f>
              <c:numCache>
                <c:formatCode>0.0</c:formatCode>
                <c:ptCount val="50"/>
                <c:pt idx="0">
                  <c:v>9</c:v>
                </c:pt>
                <c:pt idx="1">
                  <c:v>6.9</c:v>
                </c:pt>
                <c:pt idx="2">
                  <c:v>6.4</c:v>
                </c:pt>
                <c:pt idx="3">
                  <c:v>8.5</c:v>
                </c:pt>
                <c:pt idx="4">
                  <c:v>5</c:v>
                </c:pt>
                <c:pt idx="5">
                  <c:v>5.7</c:v>
                </c:pt>
                <c:pt idx="6">
                  <c:v>6.2</c:v>
                </c:pt>
                <c:pt idx="7">
                  <c:v>8.3000000000000007</c:v>
                </c:pt>
                <c:pt idx="8">
                  <c:v>7.3</c:v>
                </c:pt>
                <c:pt idx="9">
                  <c:v>8.1</c:v>
                </c:pt>
                <c:pt idx="10">
                  <c:v>5.6</c:v>
                </c:pt>
                <c:pt idx="11">
                  <c:v>6.8</c:v>
                </c:pt>
                <c:pt idx="12">
                  <c:v>7.3</c:v>
                </c:pt>
                <c:pt idx="13">
                  <c:v>8</c:v>
                </c:pt>
                <c:pt idx="14">
                  <c:v>5.0999999999999996</c:v>
                </c:pt>
                <c:pt idx="15">
                  <c:v>7.1</c:v>
                </c:pt>
                <c:pt idx="16">
                  <c:v>7.5</c:v>
                </c:pt>
                <c:pt idx="17">
                  <c:v>9.9</c:v>
                </c:pt>
                <c:pt idx="18">
                  <c:v>6.3</c:v>
                </c:pt>
                <c:pt idx="19">
                  <c:v>8</c:v>
                </c:pt>
                <c:pt idx="20">
                  <c:v>4.8</c:v>
                </c:pt>
                <c:pt idx="21">
                  <c:v>7.4</c:v>
                </c:pt>
                <c:pt idx="22">
                  <c:v>5.2</c:v>
                </c:pt>
                <c:pt idx="23">
                  <c:v>10.6</c:v>
                </c:pt>
                <c:pt idx="24">
                  <c:v>7.4</c:v>
                </c:pt>
                <c:pt idx="25">
                  <c:v>5.8</c:v>
                </c:pt>
                <c:pt idx="26">
                  <c:v>5.6</c:v>
                </c:pt>
                <c:pt idx="27">
                  <c:v>6.4</c:v>
                </c:pt>
                <c:pt idx="28">
                  <c:v>6.1</c:v>
                </c:pt>
                <c:pt idx="29">
                  <c:v>5.5</c:v>
                </c:pt>
                <c:pt idx="30">
                  <c:v>5.8</c:v>
                </c:pt>
                <c:pt idx="31">
                  <c:v>5.6</c:v>
                </c:pt>
                <c:pt idx="32">
                  <c:v>8.1</c:v>
                </c:pt>
                <c:pt idx="33">
                  <c:v>5.8</c:v>
                </c:pt>
                <c:pt idx="34">
                  <c:v>7.8</c:v>
                </c:pt>
                <c:pt idx="35">
                  <c:v>8</c:v>
                </c:pt>
                <c:pt idx="36">
                  <c:v>5.5</c:v>
                </c:pt>
                <c:pt idx="37">
                  <c:v>7.6</c:v>
                </c:pt>
                <c:pt idx="38">
                  <c:v>6.1</c:v>
                </c:pt>
                <c:pt idx="39">
                  <c:v>8.4</c:v>
                </c:pt>
                <c:pt idx="40">
                  <c:v>6.9</c:v>
                </c:pt>
                <c:pt idx="41">
                  <c:v>8.6999999999999993</c:v>
                </c:pt>
                <c:pt idx="42">
                  <c:v>6.2</c:v>
                </c:pt>
                <c:pt idx="43">
                  <c:v>5.0999999999999996</c:v>
                </c:pt>
                <c:pt idx="44">
                  <c:v>5.5</c:v>
                </c:pt>
                <c:pt idx="45">
                  <c:v>7.1</c:v>
                </c:pt>
                <c:pt idx="46">
                  <c:v>4.7</c:v>
                </c:pt>
                <c:pt idx="47">
                  <c:v>7.4</c:v>
                </c:pt>
                <c:pt idx="48">
                  <c:v>6.4</c:v>
                </c:pt>
                <c:pt idx="49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68F-49A5-A6BA-BEB7CB15C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931000"/>
        <c:axId val="750929432"/>
      </c:scatterChart>
      <c:valAx>
        <c:axId val="750931000"/>
        <c:scaling>
          <c:orientation val="minMax"/>
          <c:max val="25"/>
          <c:min val="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Poverty Rate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50929432"/>
        <c:crosses val="autoZero"/>
        <c:crossBetween val="midCat"/>
      </c:valAx>
      <c:valAx>
        <c:axId val="750929432"/>
        <c:scaling>
          <c:orientation val="minMax"/>
          <c:min val="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Infant Mortality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7509310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152400</xdr:colOff>
      <xdr:row>1</xdr:row>
      <xdr:rowOff>33337</xdr:rowOff>
    </xdr:from>
    <xdr:to>
      <xdr:col>25</xdr:col>
      <xdr:colOff>457200</xdr:colOff>
      <xdr:row>15</xdr:row>
      <xdr:rowOff>71437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9EBA98F-A4A4-4D08-9A86-C40C63381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161925</xdr:colOff>
      <xdr:row>31</xdr:row>
      <xdr:rowOff>52387</xdr:rowOff>
    </xdr:from>
    <xdr:to>
      <xdr:col>25</xdr:col>
      <xdr:colOff>466725</xdr:colOff>
      <xdr:row>45</xdr:row>
      <xdr:rowOff>128587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58DE7D0-BDF7-45FC-8257-953229164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152400</xdr:colOff>
      <xdr:row>16</xdr:row>
      <xdr:rowOff>14287</xdr:rowOff>
    </xdr:from>
    <xdr:to>
      <xdr:col>25</xdr:col>
      <xdr:colOff>495300</xdr:colOff>
      <xdr:row>30</xdr:row>
      <xdr:rowOff>113347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C996801-1169-4D63-9932-A4C0CA6C7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10583</xdr:colOff>
      <xdr:row>2</xdr:row>
      <xdr:rowOff>0</xdr:rowOff>
    </xdr:from>
    <xdr:to>
      <xdr:col>15</xdr:col>
      <xdr:colOff>285750</xdr:colOff>
      <xdr:row>16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89205CB-ECDD-4369-B6E2-D4548DD51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Correlation-Reliability%2015%20May%202021.xlsx" TargetMode="External"/><Relationship Id="rId1" Type="http://schemas.openxmlformats.org/officeDocument/2006/relationships/externalLinkPath" Target="/38f5cd2f1f925cfd/Documenti/A%20Real%20Statistics%202020/Examples/Real%20Statistics%20Examples%20Correlation-Reliability%2015%20May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Cov"/>
      <sheetName val="Corr"/>
      <sheetName val="Corr A"/>
      <sheetName val="Corr B"/>
      <sheetName val="Scatter"/>
      <sheetName val="Scatter 1"/>
      <sheetName val="Scatter 2"/>
      <sheetName val="Corr 0"/>
      <sheetName val="Corr 0a"/>
      <sheetName val="Corr 0b"/>
      <sheetName val="Corr 1"/>
      <sheetName val="Corr 1a"/>
      <sheetName val="Corr 2"/>
      <sheetName val="Corr 3"/>
      <sheetName val="Corr 3a"/>
      <sheetName val="Corr 3b"/>
      <sheetName val="Corr 4"/>
      <sheetName val="Corr 5"/>
      <sheetName val="Corr Power"/>
      <sheetName val="2 Corr"/>
      <sheetName val="2 Corr Dep 1"/>
      <sheetName val="2 Corr Dep 2"/>
      <sheetName val="2 Corr Dep 3"/>
      <sheetName val="Corr and T"/>
      <sheetName val="Corr and Chi-sq"/>
      <sheetName val="Biserial"/>
      <sheetName val="Spearman Rho 1"/>
      <sheetName val="Spearman Rho 1a"/>
      <sheetName val="Spearman Rho 2"/>
      <sheetName val="Spearman Rho 2a"/>
      <sheetName val="Spearman Rho 3"/>
      <sheetName val="Kendall's Tau"/>
      <sheetName val="Kendall Tau 1"/>
      <sheetName val="Kendall Tau 2"/>
      <sheetName val="Kendall Tau 3"/>
      <sheetName val="Box-Cox 1"/>
      <sheetName val="Box-Cox 2"/>
      <sheetName val="Box-Cox 3"/>
      <sheetName val="Polychoric 1"/>
      <sheetName val="Polychoric 2"/>
      <sheetName val="Polychoric 3"/>
      <sheetName val="Polychoric 4"/>
      <sheetName val="Polychoric 5"/>
      <sheetName val="OChisq"/>
      <sheetName val="OChiSq 1"/>
      <sheetName val="OChisq 2"/>
      <sheetName val="Pearson Table"/>
      <sheetName val="Sp Rho Table"/>
      <sheetName val="Ken Tau Table"/>
      <sheetName val="Split-half"/>
      <sheetName val="Split-half 1"/>
      <sheetName val="Split-half 2"/>
      <sheetName val="Split-half 3"/>
      <sheetName val="Split-half 4"/>
      <sheetName val="KRF20"/>
      <sheetName val="Cronbach"/>
      <sheetName val="Cronbach 1"/>
      <sheetName val="Cronbach 2"/>
      <sheetName val="Cronbach 3"/>
      <sheetName val="Cronbach 4"/>
      <sheetName val="Cronbach 5"/>
      <sheetName val="Kappa"/>
      <sheetName val=" Kappa A"/>
      <sheetName val="Kappa 0"/>
      <sheetName val="Kappa 1"/>
      <sheetName val="FKappa"/>
      <sheetName val="Kendall W"/>
      <sheetName val="Kendall W 1"/>
      <sheetName val="Krip cat"/>
      <sheetName val="Krip ser"/>
      <sheetName val="Krip ord"/>
      <sheetName val="Krip int"/>
      <sheetName val="Krip ratio"/>
      <sheetName val="K rating"/>
      <sheetName val="K summary"/>
      <sheetName val="Gwet cat"/>
      <sheetName val="Gwet int"/>
      <sheetName val="Gwet"/>
      <sheetName val="Bland"/>
      <sheetName val="Bland 1"/>
      <sheetName val="Lin"/>
      <sheetName val="Item"/>
      <sheetName val="Rasch A"/>
      <sheetName val="Rasch B"/>
      <sheetName val="Rasch C"/>
      <sheetName val="Rasch D"/>
      <sheetName val="Rasch E"/>
      <sheetName val="Rasch F"/>
      <sheetName val="Rasch G"/>
      <sheetName val="PROX"/>
      <sheetName val="UC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Life Exp</v>
          </cell>
        </row>
        <row r="4">
          <cell r="A4">
            <v>5</v>
          </cell>
          <cell r="B4">
            <v>80</v>
          </cell>
        </row>
        <row r="5">
          <cell r="A5">
            <v>23</v>
          </cell>
          <cell r="B5">
            <v>78</v>
          </cell>
        </row>
        <row r="6">
          <cell r="A6">
            <v>25</v>
          </cell>
          <cell r="B6">
            <v>60</v>
          </cell>
        </row>
        <row r="7">
          <cell r="A7">
            <v>48</v>
          </cell>
          <cell r="B7">
            <v>53</v>
          </cell>
        </row>
        <row r="8">
          <cell r="A8">
            <v>17</v>
          </cell>
          <cell r="B8">
            <v>85</v>
          </cell>
        </row>
        <row r="9">
          <cell r="A9">
            <v>8</v>
          </cell>
          <cell r="B9">
            <v>84</v>
          </cell>
        </row>
        <row r="10">
          <cell r="A10">
            <v>4</v>
          </cell>
          <cell r="B10">
            <v>73</v>
          </cell>
        </row>
        <row r="11">
          <cell r="A11">
            <v>26</v>
          </cell>
          <cell r="B11">
            <v>79</v>
          </cell>
        </row>
        <row r="12">
          <cell r="A12">
            <v>11</v>
          </cell>
          <cell r="B12">
            <v>81</v>
          </cell>
        </row>
        <row r="13">
          <cell r="A13">
            <v>19</v>
          </cell>
          <cell r="B13">
            <v>75</v>
          </cell>
        </row>
        <row r="14">
          <cell r="A14">
            <v>14</v>
          </cell>
          <cell r="B14">
            <v>68</v>
          </cell>
        </row>
        <row r="15">
          <cell r="A15">
            <v>35</v>
          </cell>
          <cell r="B15">
            <v>72</v>
          </cell>
        </row>
        <row r="16">
          <cell r="A16">
            <v>29</v>
          </cell>
          <cell r="B16">
            <v>58</v>
          </cell>
        </row>
        <row r="17">
          <cell r="A17">
            <v>4</v>
          </cell>
          <cell r="B17">
            <v>92</v>
          </cell>
        </row>
        <row r="18">
          <cell r="A18">
            <v>23</v>
          </cell>
          <cell r="B18">
            <v>65</v>
          </cell>
        </row>
        <row r="43">
          <cell r="H43">
            <v>4</v>
          </cell>
          <cell r="I43">
            <v>-1.8339146358159142</v>
          </cell>
        </row>
        <row r="44">
          <cell r="H44">
            <v>4</v>
          </cell>
          <cell r="I44">
            <v>-1.2815515655446006</v>
          </cell>
        </row>
        <row r="45">
          <cell r="H45">
            <v>5</v>
          </cell>
          <cell r="I45">
            <v>-0.96742156610170071</v>
          </cell>
        </row>
        <row r="46">
          <cell r="H46">
            <v>8</v>
          </cell>
          <cell r="I46">
            <v>-0.72791329088164469</v>
          </cell>
        </row>
        <row r="47">
          <cell r="H47">
            <v>11</v>
          </cell>
          <cell r="I47">
            <v>-0.52440051270804089</v>
          </cell>
        </row>
        <row r="48">
          <cell r="H48">
            <v>14</v>
          </cell>
          <cell r="I48">
            <v>-0.34069482708779553</v>
          </cell>
        </row>
        <row r="49">
          <cell r="H49">
            <v>17</v>
          </cell>
          <cell r="I49">
            <v>-0.16789400478810546</v>
          </cell>
        </row>
        <row r="50">
          <cell r="H50">
            <v>19</v>
          </cell>
          <cell r="I50">
            <v>0</v>
          </cell>
        </row>
        <row r="51">
          <cell r="H51">
            <v>23</v>
          </cell>
          <cell r="I51">
            <v>0.16789400478810546</v>
          </cell>
        </row>
        <row r="52">
          <cell r="H52">
            <v>23</v>
          </cell>
          <cell r="I52">
            <v>0.34069482708779542</v>
          </cell>
        </row>
        <row r="53">
          <cell r="H53">
            <v>25</v>
          </cell>
          <cell r="I53">
            <v>0.52440051270804078</v>
          </cell>
        </row>
        <row r="54">
          <cell r="H54">
            <v>26</v>
          </cell>
          <cell r="I54">
            <v>0.72791329088164458</v>
          </cell>
        </row>
        <row r="55">
          <cell r="H55">
            <v>29</v>
          </cell>
          <cell r="I55">
            <v>0.96742156610170071</v>
          </cell>
        </row>
        <row r="56">
          <cell r="H56">
            <v>35</v>
          </cell>
          <cell r="I56">
            <v>1.2815515655446006</v>
          </cell>
        </row>
        <row r="57">
          <cell r="H57">
            <v>48</v>
          </cell>
          <cell r="I57">
            <v>1.8339146358159142</v>
          </cell>
        </row>
        <row r="67">
          <cell r="H67">
            <v>53</v>
          </cell>
          <cell r="I67">
            <v>-1.8339146358159142</v>
          </cell>
        </row>
        <row r="68">
          <cell r="H68">
            <v>58</v>
          </cell>
          <cell r="I68">
            <v>-1.2815515655446006</v>
          </cell>
        </row>
        <row r="69">
          <cell r="H69">
            <v>60</v>
          </cell>
          <cell r="I69">
            <v>-0.96742156610170071</v>
          </cell>
        </row>
        <row r="70">
          <cell r="H70">
            <v>65</v>
          </cell>
          <cell r="I70">
            <v>-0.72791329088164469</v>
          </cell>
        </row>
        <row r="71">
          <cell r="H71">
            <v>68</v>
          </cell>
          <cell r="I71">
            <v>-0.52440051270804089</v>
          </cell>
        </row>
        <row r="72">
          <cell r="H72">
            <v>72</v>
          </cell>
          <cell r="I72">
            <v>-0.34069482708779553</v>
          </cell>
        </row>
        <row r="73">
          <cell r="H73">
            <v>73</v>
          </cell>
          <cell r="I73">
            <v>-0.16789400478810546</v>
          </cell>
        </row>
        <row r="74">
          <cell r="H74">
            <v>75</v>
          </cell>
          <cell r="I74">
            <v>0</v>
          </cell>
        </row>
        <row r="75">
          <cell r="H75">
            <v>78</v>
          </cell>
          <cell r="I75">
            <v>0.16789400478810546</v>
          </cell>
        </row>
        <row r="76">
          <cell r="H76">
            <v>79</v>
          </cell>
          <cell r="I76">
            <v>0.34069482708779542</v>
          </cell>
        </row>
        <row r="77">
          <cell r="H77">
            <v>80</v>
          </cell>
          <cell r="I77">
            <v>0.52440051270804078</v>
          </cell>
        </row>
        <row r="78">
          <cell r="H78">
            <v>81</v>
          </cell>
          <cell r="I78">
            <v>0.72791329088164458</v>
          </cell>
        </row>
        <row r="79">
          <cell r="H79">
            <v>84</v>
          </cell>
          <cell r="I79">
            <v>0.96742156610170071</v>
          </cell>
        </row>
        <row r="80">
          <cell r="H80">
            <v>85</v>
          </cell>
          <cell r="I80">
            <v>1.2815515655446006</v>
          </cell>
        </row>
        <row r="81">
          <cell r="H81">
            <v>92</v>
          </cell>
          <cell r="I81">
            <v>1.8339146358159142</v>
          </cell>
        </row>
      </sheetData>
      <sheetData sheetId="10"/>
      <sheetData sheetId="11"/>
      <sheetData sheetId="12"/>
      <sheetData sheetId="13"/>
      <sheetData sheetId="14">
        <row r="4">
          <cell r="B4">
            <v>15.7</v>
          </cell>
          <cell r="C4">
            <v>9</v>
          </cell>
        </row>
        <row r="5">
          <cell r="B5">
            <v>8.4</v>
          </cell>
          <cell r="C5">
            <v>6.9</v>
          </cell>
        </row>
        <row r="6">
          <cell r="B6">
            <v>14.7</v>
          </cell>
          <cell r="C6">
            <v>6.4</v>
          </cell>
        </row>
        <row r="7">
          <cell r="B7">
            <v>17.3</v>
          </cell>
          <cell r="C7">
            <v>8.5</v>
          </cell>
        </row>
        <row r="8">
          <cell r="B8">
            <v>13.3</v>
          </cell>
          <cell r="C8">
            <v>5</v>
          </cell>
        </row>
        <row r="9">
          <cell r="B9">
            <v>11.4</v>
          </cell>
          <cell r="C9">
            <v>5.7</v>
          </cell>
        </row>
        <row r="10">
          <cell r="B10">
            <v>9.3000000000000007</v>
          </cell>
          <cell r="C10">
            <v>6.2</v>
          </cell>
        </row>
        <row r="11">
          <cell r="B11">
            <v>10</v>
          </cell>
          <cell r="C11">
            <v>8.3000000000000007</v>
          </cell>
        </row>
        <row r="12">
          <cell r="B12">
            <v>13.2</v>
          </cell>
          <cell r="C12">
            <v>7.3</v>
          </cell>
        </row>
        <row r="13">
          <cell r="B13">
            <v>14.7</v>
          </cell>
          <cell r="C13">
            <v>8.1</v>
          </cell>
        </row>
        <row r="14">
          <cell r="B14">
            <v>9.1</v>
          </cell>
          <cell r="C14">
            <v>5.6</v>
          </cell>
        </row>
        <row r="15">
          <cell r="B15">
            <v>12.6</v>
          </cell>
          <cell r="C15">
            <v>6.8</v>
          </cell>
        </row>
        <row r="16">
          <cell r="B16">
            <v>12.2</v>
          </cell>
          <cell r="C16">
            <v>7.3</v>
          </cell>
        </row>
        <row r="17">
          <cell r="B17">
            <v>13.1</v>
          </cell>
          <cell r="C17">
            <v>8</v>
          </cell>
        </row>
        <row r="18">
          <cell r="B18">
            <v>11.5</v>
          </cell>
          <cell r="C18">
            <v>5.0999999999999996</v>
          </cell>
        </row>
        <row r="19">
          <cell r="B19">
            <v>11.3</v>
          </cell>
          <cell r="C19">
            <v>7.1</v>
          </cell>
        </row>
        <row r="20">
          <cell r="B20">
            <v>17.3</v>
          </cell>
          <cell r="C20">
            <v>7.5</v>
          </cell>
        </row>
        <row r="21">
          <cell r="B21">
            <v>17.3</v>
          </cell>
          <cell r="C21">
            <v>9.9</v>
          </cell>
        </row>
        <row r="22">
          <cell r="B22">
            <v>12.3</v>
          </cell>
          <cell r="C22">
            <v>6.3</v>
          </cell>
        </row>
        <row r="23">
          <cell r="B23">
            <v>8.1</v>
          </cell>
          <cell r="C23">
            <v>8</v>
          </cell>
        </row>
        <row r="24">
          <cell r="B24">
            <v>10</v>
          </cell>
          <cell r="C24">
            <v>4.8</v>
          </cell>
        </row>
        <row r="25">
          <cell r="B25">
            <v>14.4</v>
          </cell>
          <cell r="C25">
            <v>7.4</v>
          </cell>
        </row>
        <row r="26">
          <cell r="B26">
            <v>9.6</v>
          </cell>
          <cell r="C26">
            <v>5.2</v>
          </cell>
        </row>
        <row r="27">
          <cell r="B27">
            <v>21.2</v>
          </cell>
          <cell r="C27">
            <v>10.6</v>
          </cell>
        </row>
        <row r="28">
          <cell r="B28">
            <v>13.4</v>
          </cell>
          <cell r="C28">
            <v>7.4</v>
          </cell>
        </row>
        <row r="29">
          <cell r="B29">
            <v>14.8</v>
          </cell>
          <cell r="C29">
            <v>5.8</v>
          </cell>
        </row>
        <row r="30">
          <cell r="B30">
            <v>10.8</v>
          </cell>
          <cell r="C30">
            <v>5.6</v>
          </cell>
        </row>
        <row r="31">
          <cell r="B31">
            <v>11.3</v>
          </cell>
          <cell r="C31">
            <v>6.4</v>
          </cell>
        </row>
        <row r="32">
          <cell r="B32">
            <v>7.6</v>
          </cell>
          <cell r="C32">
            <v>6.1</v>
          </cell>
        </row>
        <row r="33">
          <cell r="B33">
            <v>8.6999999999999993</v>
          </cell>
          <cell r="C33">
            <v>5.5</v>
          </cell>
        </row>
        <row r="34">
          <cell r="B34">
            <v>17.100000000000001</v>
          </cell>
          <cell r="C34">
            <v>5.8</v>
          </cell>
        </row>
        <row r="35">
          <cell r="B35">
            <v>13.6</v>
          </cell>
          <cell r="C35">
            <v>5.6</v>
          </cell>
        </row>
        <row r="36">
          <cell r="B36">
            <v>14.6</v>
          </cell>
          <cell r="C36">
            <v>8.1</v>
          </cell>
        </row>
        <row r="37">
          <cell r="B37">
            <v>12</v>
          </cell>
          <cell r="C37">
            <v>5.8</v>
          </cell>
        </row>
        <row r="38">
          <cell r="B38">
            <v>13.4</v>
          </cell>
          <cell r="C38">
            <v>7.8</v>
          </cell>
        </row>
        <row r="39">
          <cell r="B39">
            <v>15.9</v>
          </cell>
          <cell r="C39">
            <v>8</v>
          </cell>
        </row>
        <row r="40">
          <cell r="B40">
            <v>13.6</v>
          </cell>
          <cell r="C40">
            <v>5.5</v>
          </cell>
        </row>
        <row r="41">
          <cell r="B41">
            <v>12.1</v>
          </cell>
          <cell r="C41">
            <v>7.6</v>
          </cell>
        </row>
        <row r="42">
          <cell r="B42">
            <v>11.7</v>
          </cell>
          <cell r="C42">
            <v>6.1</v>
          </cell>
        </row>
        <row r="43">
          <cell r="B43">
            <v>15.7</v>
          </cell>
          <cell r="C43">
            <v>8.4</v>
          </cell>
        </row>
        <row r="44">
          <cell r="B44">
            <v>12.5</v>
          </cell>
          <cell r="C44">
            <v>6.9</v>
          </cell>
        </row>
        <row r="45">
          <cell r="B45">
            <v>15.5</v>
          </cell>
          <cell r="C45">
            <v>8.6999999999999993</v>
          </cell>
        </row>
        <row r="46">
          <cell r="B46">
            <v>15.8</v>
          </cell>
          <cell r="C46">
            <v>6.2</v>
          </cell>
        </row>
        <row r="47">
          <cell r="B47">
            <v>9.6</v>
          </cell>
          <cell r="C47">
            <v>5.0999999999999996</v>
          </cell>
        </row>
        <row r="48">
          <cell r="B48">
            <v>10.6</v>
          </cell>
          <cell r="C48">
            <v>5.5</v>
          </cell>
        </row>
        <row r="49">
          <cell r="B49">
            <v>10.199999999999999</v>
          </cell>
          <cell r="C49">
            <v>7.1</v>
          </cell>
        </row>
        <row r="50">
          <cell r="B50">
            <v>11.3</v>
          </cell>
          <cell r="C50">
            <v>4.7</v>
          </cell>
        </row>
        <row r="51">
          <cell r="B51">
            <v>17</v>
          </cell>
          <cell r="C51">
            <v>7.4</v>
          </cell>
        </row>
        <row r="52">
          <cell r="B52">
            <v>10.4</v>
          </cell>
          <cell r="C52">
            <v>6.4</v>
          </cell>
        </row>
        <row r="53">
          <cell r="B53">
            <v>9.4</v>
          </cell>
          <cell r="C53">
            <v>7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6D06A-A31D-4BF6-8E30-9AD907FADE96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131</v>
      </c>
    </row>
    <row r="2" spans="1:2" x14ac:dyDescent="0.35">
      <c r="A2" t="s">
        <v>134</v>
      </c>
    </row>
    <row r="4" spans="1:2" x14ac:dyDescent="0.35">
      <c r="A4" t="s">
        <v>132</v>
      </c>
      <c r="B4" s="32">
        <v>45813</v>
      </c>
    </row>
    <row r="6" spans="1:2" x14ac:dyDescent="0.35">
      <c r="A6" s="33" t="s">
        <v>133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8C117-372F-47C5-918D-33300E864F23}">
  <sheetPr codeName="Sheet55"/>
  <dimension ref="A1:AI81"/>
  <sheetViews>
    <sheetView workbookViewId="0"/>
  </sheetViews>
  <sheetFormatPr defaultRowHeight="14.5" x14ac:dyDescent="0.35"/>
  <cols>
    <col min="1" max="2" width="8.81640625" customWidth="1"/>
    <col min="3" max="3" width="6.81640625" customWidth="1"/>
    <col min="4" max="4" width="9.1796875" customWidth="1"/>
    <col min="6" max="6" width="3.1796875" customWidth="1"/>
    <col min="7" max="7" width="23.453125" customWidth="1"/>
    <col min="11" max="11" width="3.26953125" customWidth="1"/>
    <col min="12" max="12" width="25.453125" customWidth="1"/>
    <col min="13" max="13" width="5.7265625" customWidth="1"/>
    <col min="16" max="16" width="3.26953125" customWidth="1"/>
    <col min="17" max="17" width="16.453125" customWidth="1"/>
    <col min="18" max="18" width="4.26953125" customWidth="1"/>
    <col min="29" max="29" width="3" customWidth="1"/>
    <col min="30" max="30" width="22.26953125" customWidth="1"/>
    <col min="34" max="34" width="4" customWidth="1"/>
    <col min="35" max="35" width="36.7265625" customWidth="1"/>
  </cols>
  <sheetData>
    <row r="1" spans="1:35" x14ac:dyDescent="0.35">
      <c r="A1" s="1" t="s">
        <v>0</v>
      </c>
      <c r="B1" s="1"/>
    </row>
    <row r="3" spans="1:35" s="3" customFormat="1" x14ac:dyDescent="0.35">
      <c r="A3" s="2" t="s">
        <v>1</v>
      </c>
      <c r="B3" s="2" t="s">
        <v>2</v>
      </c>
      <c r="C3"/>
      <c r="D3" t="s">
        <v>3</v>
      </c>
      <c r="E3"/>
      <c r="F3"/>
      <c r="G3"/>
      <c r="H3"/>
      <c r="I3" t="s">
        <v>4</v>
      </c>
      <c r="J3"/>
      <c r="K3"/>
      <c r="L3"/>
      <c r="M3"/>
      <c r="N3" t="s">
        <v>5</v>
      </c>
      <c r="O3"/>
      <c r="P3"/>
      <c r="Q3"/>
      <c r="S3"/>
      <c r="T3"/>
      <c r="U3"/>
      <c r="V3"/>
      <c r="AB3" s="3" t="s">
        <v>6</v>
      </c>
      <c r="AF3" s="3" t="s">
        <v>7</v>
      </c>
    </row>
    <row r="4" spans="1:35" x14ac:dyDescent="0.35">
      <c r="A4" s="4">
        <v>5</v>
      </c>
      <c r="B4" s="5">
        <v>80</v>
      </c>
    </row>
    <row r="5" spans="1:35" x14ac:dyDescent="0.35">
      <c r="A5" s="4">
        <v>23</v>
      </c>
      <c r="B5" s="4">
        <v>78</v>
      </c>
      <c r="D5" t="s">
        <v>8</v>
      </c>
      <c r="E5" s="6">
        <f>CORREL(A4:A18,B4:B18)</f>
        <v>-0.71343017438658085</v>
      </c>
      <c r="G5" t="e">
        <f ca="1">FTEXT(E5)</f>
        <v>#NAME?</v>
      </c>
      <c r="I5" s="7" t="s">
        <v>8</v>
      </c>
      <c r="J5" s="6">
        <f>E5</f>
        <v>-0.71343017438658085</v>
      </c>
      <c r="L5" t="e">
        <f ca="1">FTEXT(J5)</f>
        <v>#NAME?</v>
      </c>
      <c r="N5" t="s">
        <v>9</v>
      </c>
      <c r="O5" s="6">
        <f>J7</f>
        <v>-0.89413518216034948</v>
      </c>
      <c r="Q5" t="e">
        <f ca="1">FTEXT(O5)</f>
        <v>#NAME?</v>
      </c>
      <c r="AB5" s="6" t="e">
        <f ca="1">CorrTTest(E5,E7,2)</f>
        <v>#NAME?</v>
      </c>
      <c r="AD5" t="e">
        <f ca="1">FTEXT(AB5)</f>
        <v>#NAME?</v>
      </c>
      <c r="AF5" t="e">
        <f t="array" aca="1" ref="AF5:AG8" ca="1">CorrelTTest(E5,E7,E11,TRUE)</f>
        <v>#NAME?</v>
      </c>
      <c r="AG5" s="6" t="e">
        <f ca="1"/>
        <v>#NAME?</v>
      </c>
      <c r="AI5" t="e">
        <f ca="1">FTEXT(AF5)</f>
        <v>#NAME?</v>
      </c>
    </row>
    <row r="6" spans="1:35" x14ac:dyDescent="0.35">
      <c r="A6" s="4">
        <v>25</v>
      </c>
      <c r="B6" s="4">
        <v>60</v>
      </c>
      <c r="D6" s="10" t="s">
        <v>10</v>
      </c>
      <c r="E6" s="8">
        <v>0</v>
      </c>
      <c r="I6" s="11" t="s">
        <v>10</v>
      </c>
      <c r="J6" s="8">
        <f>E6</f>
        <v>0</v>
      </c>
      <c r="L6" t="e">
        <f ca="1">FTEXT(J6)</f>
        <v>#NAME?</v>
      </c>
      <c r="N6" t="s">
        <v>11</v>
      </c>
      <c r="O6" s="8">
        <f>ABS(J14)</f>
        <v>1.9599639845400538</v>
      </c>
      <c r="Q6" t="e">
        <f ca="1">FTEXT(O6)</f>
        <v>#NAME?</v>
      </c>
      <c r="AB6" s="9" t="e">
        <f ca="1">CorrTTest(E5,E7,1)</f>
        <v>#NAME?</v>
      </c>
      <c r="AD6" t="e">
        <f ca="1">FTEXT(AB6)</f>
        <v>#NAME?</v>
      </c>
      <c r="AF6" t="e">
        <f ca="1"/>
        <v>#NAME?</v>
      </c>
      <c r="AG6" s="8" t="e">
        <f ca="1"/>
        <v>#NAME?</v>
      </c>
    </row>
    <row r="7" spans="1:35" ht="16.5" x14ac:dyDescent="0.45">
      <c r="A7" s="4">
        <v>48</v>
      </c>
      <c r="B7" s="4">
        <v>53</v>
      </c>
      <c r="D7" t="s">
        <v>12</v>
      </c>
      <c r="E7" s="8">
        <f>COUNT(A4:A18)</f>
        <v>15</v>
      </c>
      <c r="G7" t="e">
        <f ca="1">FTEXT(E7)</f>
        <v>#NAME?</v>
      </c>
      <c r="I7" s="7" t="s">
        <v>9</v>
      </c>
      <c r="J7" s="8">
        <f>FISHER(J5)</f>
        <v>-0.89413518216034948</v>
      </c>
      <c r="L7" t="e">
        <f ca="1">FTEXT(J7)</f>
        <v>#NAME?</v>
      </c>
      <c r="N7" s="7" t="s">
        <v>13</v>
      </c>
      <c r="O7" s="9">
        <f>J11</f>
        <v>0.28867513459481292</v>
      </c>
      <c r="Q7" t="e">
        <f ca="1">FTEXT(O7)</f>
        <v>#NAME?</v>
      </c>
      <c r="AF7" t="e">
        <f ca="1"/>
        <v>#NAME?</v>
      </c>
      <c r="AG7" s="8" t="e">
        <f ca="1"/>
        <v>#NAME?</v>
      </c>
    </row>
    <row r="8" spans="1:35" x14ac:dyDescent="0.35">
      <c r="A8" s="4">
        <v>17</v>
      </c>
      <c r="B8" s="4">
        <v>85</v>
      </c>
      <c r="D8" t="s">
        <v>14</v>
      </c>
      <c r="E8" s="8">
        <f>E7-2</f>
        <v>13</v>
      </c>
      <c r="G8" t="e">
        <f ca="1">FTEXT(E8)</f>
        <v>#NAME?</v>
      </c>
      <c r="I8" s="11" t="s">
        <v>15</v>
      </c>
      <c r="J8" s="9">
        <f>FISHER(J6)</f>
        <v>0</v>
      </c>
      <c r="L8" t="e">
        <f ca="1">FTEXT(J8)</f>
        <v>#NAME?</v>
      </c>
      <c r="Q8" t="e">
        <f ca="1">FTEXT(O8)</f>
        <v>#NAME?</v>
      </c>
      <c r="AB8" s="6" t="e">
        <f ca="1">CorrTest(J6,J5,J10,2)</f>
        <v>#NAME?</v>
      </c>
      <c r="AD8" t="e">
        <f ca="1">FTEXT(AB8)</f>
        <v>#NAME?</v>
      </c>
      <c r="AF8" t="e">
        <f ca="1"/>
        <v>#NAME?</v>
      </c>
      <c r="AG8" s="9" t="e">
        <f ca="1"/>
        <v>#NAME?</v>
      </c>
    </row>
    <row r="9" spans="1:35" ht="16.5" x14ac:dyDescent="0.45">
      <c r="A9" s="4">
        <v>8</v>
      </c>
      <c r="B9" s="4">
        <v>84</v>
      </c>
      <c r="D9" t="s">
        <v>16</v>
      </c>
      <c r="E9" s="8">
        <f>SQRT((1-E5^2)/E8)</f>
        <v>0.1943465157263681</v>
      </c>
      <c r="G9" t="e">
        <f ca="1">FTEXT(E9)</f>
        <v>#NAME?</v>
      </c>
      <c r="L9" t="e">
        <f ca="1">FTEXT(J9)</f>
        <v>#NAME?</v>
      </c>
      <c r="N9" t="s">
        <v>17</v>
      </c>
      <c r="O9" s="6">
        <f>O5-O6*O7</f>
        <v>-1.4599280491984352</v>
      </c>
      <c r="Q9" t="e">
        <f ca="1">FTEXT(O9)</f>
        <v>#NAME?</v>
      </c>
      <c r="AB9" s="9" t="e">
        <f ca="1">CorrTest(J6,J5,J10,1)</f>
        <v>#NAME?</v>
      </c>
      <c r="AD9" t="e">
        <f ca="1">FTEXT(AB9)</f>
        <v>#NAME?</v>
      </c>
    </row>
    <row r="10" spans="1:35" x14ac:dyDescent="0.35">
      <c r="A10" s="4">
        <v>4</v>
      </c>
      <c r="B10" s="4">
        <v>73</v>
      </c>
      <c r="D10" t="s">
        <v>18</v>
      </c>
      <c r="E10" s="8">
        <f>E5/E9</f>
        <v>-3.6709182653475567</v>
      </c>
      <c r="G10" t="e">
        <f ca="1">FTEXT(E10)</f>
        <v>#NAME?</v>
      </c>
      <c r="I10" s="7" t="s">
        <v>12</v>
      </c>
      <c r="J10" s="6">
        <f>E7</f>
        <v>15</v>
      </c>
      <c r="L10" t="e">
        <f ca="1">FTEXT(J10)</f>
        <v>#NAME?</v>
      </c>
      <c r="N10" t="s">
        <v>19</v>
      </c>
      <c r="O10" s="8">
        <f>O5+O6*O7</f>
        <v>-0.32834231512226364</v>
      </c>
      <c r="Q10" t="e">
        <f ca="1">FTEXT(O10)</f>
        <v>#NAME?</v>
      </c>
    </row>
    <row r="11" spans="1:35" ht="16.5" x14ac:dyDescent="0.45">
      <c r="A11" s="4">
        <v>26</v>
      </c>
      <c r="B11" s="4">
        <v>79</v>
      </c>
      <c r="D11" t="s">
        <v>20</v>
      </c>
      <c r="E11" s="8">
        <v>0.05</v>
      </c>
      <c r="I11" s="7" t="s">
        <v>13</v>
      </c>
      <c r="J11" s="8">
        <f>1/SQRT(J10-3)</f>
        <v>0.28867513459481292</v>
      </c>
      <c r="L11" t="e">
        <f ca="1">FTEXT(J11)</f>
        <v>#NAME?</v>
      </c>
      <c r="N11" t="s">
        <v>21</v>
      </c>
      <c r="O11" s="8">
        <f>FISHERINV(O9)</f>
        <v>-0.89763862299200325</v>
      </c>
      <c r="Q11" t="e">
        <f ca="1">FTEXT(O11)</f>
        <v>#NAME?</v>
      </c>
      <c r="AB11" s="6" t="e">
        <f ca="1">CorrTLower(E5,E7,E11)</f>
        <v>#NAME?</v>
      </c>
      <c r="AD11" t="e">
        <f ca="1">FTEXT(AB11)</f>
        <v>#NAME?</v>
      </c>
      <c r="AF11" t="e">
        <f t="array" aca="1" ref="AF11:AG14" ca="1">CorrelTest(J5,J10,J6,J13,TRUE)</f>
        <v>#NAME?</v>
      </c>
      <c r="AG11" s="6" t="e">
        <f ca="1"/>
        <v>#NAME?</v>
      </c>
      <c r="AI11" t="e">
        <f ca="1">FTEXT(AF11)</f>
        <v>#NAME?</v>
      </c>
    </row>
    <row r="12" spans="1:35" x14ac:dyDescent="0.35">
      <c r="A12" s="4">
        <v>11</v>
      </c>
      <c r="B12" s="4">
        <v>81</v>
      </c>
      <c r="D12" t="s">
        <v>22</v>
      </c>
      <c r="E12" s="8">
        <f>TINV(E11,E8)</f>
        <v>2.1603686564627926</v>
      </c>
      <c r="G12" s="12" t="s">
        <v>23</v>
      </c>
      <c r="I12" t="s">
        <v>24</v>
      </c>
      <c r="J12" s="8">
        <f>(J7-J8)/J11</f>
        <v>-3.0973751286731566</v>
      </c>
      <c r="L12" t="e">
        <f ca="1">FTEXT(J12)</f>
        <v>#NAME?</v>
      </c>
      <c r="N12" t="s">
        <v>25</v>
      </c>
      <c r="O12" s="9">
        <f>FISHERINV(O10)</f>
        <v>-0.3170304877306484</v>
      </c>
      <c r="Q12" t="e">
        <f ca="1">FTEXT(O12)</f>
        <v>#NAME?</v>
      </c>
      <c r="AB12" s="9" t="e">
        <f ca="1">CorrTUpper(E5,E7,E11)</f>
        <v>#NAME?</v>
      </c>
      <c r="AD12" t="e">
        <f ca="1">FTEXT(AB12)</f>
        <v>#NAME?</v>
      </c>
      <c r="AF12" t="e">
        <f ca="1"/>
        <v>#NAME?</v>
      </c>
      <c r="AG12" s="8" t="e">
        <f ca="1"/>
        <v>#NAME?</v>
      </c>
    </row>
    <row r="13" spans="1:35" x14ac:dyDescent="0.35">
      <c r="A13" s="4">
        <v>19</v>
      </c>
      <c r="B13" s="4">
        <v>75</v>
      </c>
      <c r="D13" t="s">
        <v>26</v>
      </c>
      <c r="E13" s="8">
        <f>TDIST(ABS(E10),E8,2)</f>
        <v>2.822342990071231E-3</v>
      </c>
      <c r="G13" s="12" t="s">
        <v>27</v>
      </c>
      <c r="I13" t="s">
        <v>20</v>
      </c>
      <c r="J13" s="8">
        <v>0.05</v>
      </c>
      <c r="AF13" t="e">
        <f ca="1"/>
        <v>#NAME?</v>
      </c>
      <c r="AG13" s="8" t="e">
        <f ca="1"/>
        <v>#NAME?</v>
      </c>
    </row>
    <row r="14" spans="1:35" x14ac:dyDescent="0.35">
      <c r="A14" s="4">
        <v>14</v>
      </c>
      <c r="B14" s="4">
        <v>68</v>
      </c>
      <c r="D14" t="s">
        <v>28</v>
      </c>
      <c r="E14" s="13" t="str">
        <f>IF(E13&lt;E11,"yes","no")</f>
        <v>yes</v>
      </c>
      <c r="G14" t="e">
        <f ca="1">FTEXT(E14)</f>
        <v>#NAME?</v>
      </c>
      <c r="I14" t="s">
        <v>11</v>
      </c>
      <c r="J14" s="8">
        <f>NORMSINV(J13/2)</f>
        <v>-1.9599639845400538</v>
      </c>
      <c r="L14" s="12" t="s">
        <v>29</v>
      </c>
      <c r="AB14" s="6" t="e">
        <f ca="1">CorrLower(E5,E7,E11)</f>
        <v>#NAME?</v>
      </c>
      <c r="AD14" t="e">
        <f ca="1">FTEXT(AB14)</f>
        <v>#NAME?</v>
      </c>
      <c r="AF14" t="e">
        <f ca="1"/>
        <v>#NAME?</v>
      </c>
      <c r="AG14" s="9" t="e">
        <f ca="1"/>
        <v>#NAME?</v>
      </c>
    </row>
    <row r="15" spans="1:35" x14ac:dyDescent="0.35">
      <c r="A15" s="4">
        <v>35</v>
      </c>
      <c r="B15" s="4">
        <v>72</v>
      </c>
      <c r="I15" t="s">
        <v>26</v>
      </c>
      <c r="J15" s="8">
        <f>2*NORMSDIST(J12)</f>
        <v>1.9524263310825908E-3</v>
      </c>
      <c r="L15" s="12" t="s">
        <v>30</v>
      </c>
      <c r="AB15" s="9" t="e">
        <f ca="1">CorrUpper(E5,E7,E11)</f>
        <v>#NAME?</v>
      </c>
      <c r="AD15" t="e">
        <f ca="1">FTEXT(AB15)</f>
        <v>#NAME?</v>
      </c>
    </row>
    <row r="16" spans="1:35" x14ac:dyDescent="0.35">
      <c r="A16" s="4">
        <v>29</v>
      </c>
      <c r="B16" s="4">
        <v>58</v>
      </c>
      <c r="D16" t="s">
        <v>31</v>
      </c>
      <c r="E16" s="6">
        <f>E5-E12*E9</f>
        <v>-1.1332902954545796</v>
      </c>
      <c r="G16" t="e">
        <f ca="1">FTEXT(E16)</f>
        <v>#NAME?</v>
      </c>
      <c r="I16" t="s">
        <v>28</v>
      </c>
      <c r="J16" s="13" t="str">
        <f>IF(J15&lt;J13,"yes","no")</f>
        <v>yes</v>
      </c>
      <c r="K16" s="14"/>
      <c r="L16" t="e">
        <f ca="1">FTEXT(J16)</f>
        <v>#NAME?</v>
      </c>
    </row>
    <row r="17" spans="1:35" x14ac:dyDescent="0.35">
      <c r="A17" s="4">
        <v>4</v>
      </c>
      <c r="B17" s="4">
        <v>92</v>
      </c>
      <c r="D17" t="s">
        <v>32</v>
      </c>
      <c r="E17" s="9">
        <f>E5+E12*E9</f>
        <v>-0.29357005331858199</v>
      </c>
      <c r="G17" t="e">
        <f ca="1">FTEXT(E17)</f>
        <v>#NAME?</v>
      </c>
      <c r="AF17" t="e">
        <f t="array" aca="1" ref="AF17:AG20" ca="1">CorrelTTest(A4:A18,B4:B18,E11,TRUE)</f>
        <v>#NAME?</v>
      </c>
      <c r="AG17" s="6" t="e">
        <f ca="1"/>
        <v>#NAME?</v>
      </c>
      <c r="AI17" t="e">
        <f ca="1">FTEXT(AF17)</f>
        <v>#NAME?</v>
      </c>
    </row>
    <row r="18" spans="1:35" x14ac:dyDescent="0.35">
      <c r="A18" s="15">
        <v>23</v>
      </c>
      <c r="B18" s="15">
        <v>65</v>
      </c>
      <c r="AF18" t="e">
        <f ca="1"/>
        <v>#NAME?</v>
      </c>
      <c r="AG18" s="8" t="e">
        <f ca="1"/>
        <v>#NAME?</v>
      </c>
    </row>
    <row r="19" spans="1:35" x14ac:dyDescent="0.35">
      <c r="A19" s="4"/>
      <c r="B19" s="4"/>
      <c r="AF19" t="e">
        <f ca="1"/>
        <v>#NAME?</v>
      </c>
      <c r="AG19" s="8" t="e">
        <f ca="1"/>
        <v>#NAME?</v>
      </c>
    </row>
    <row r="20" spans="1:35" x14ac:dyDescent="0.35">
      <c r="A20" s="4"/>
      <c r="B20" s="4"/>
      <c r="D20" t="s">
        <v>33</v>
      </c>
      <c r="I20" t="s">
        <v>34</v>
      </c>
      <c r="AF20" t="e">
        <f ca="1"/>
        <v>#NAME?</v>
      </c>
      <c r="AG20" s="9" t="e">
        <f ca="1"/>
        <v>#NAME?</v>
      </c>
    </row>
    <row r="21" spans="1:35" x14ac:dyDescent="0.35">
      <c r="A21" s="4"/>
      <c r="B21" s="4"/>
    </row>
    <row r="22" spans="1:35" x14ac:dyDescent="0.35">
      <c r="A22" s="4"/>
      <c r="B22" s="4"/>
      <c r="D22" t="s">
        <v>8</v>
      </c>
      <c r="E22" s="6">
        <f>CORREL(A4:A18,B4:B18)</f>
        <v>-0.71343017438658085</v>
      </c>
      <c r="G22" t="e">
        <f ca="1">FTEXT(E22)</f>
        <v>#NAME?</v>
      </c>
      <c r="I22" s="7" t="s">
        <v>8</v>
      </c>
      <c r="J22" s="6">
        <f>E22</f>
        <v>-0.71343017438658085</v>
      </c>
      <c r="L22" t="e">
        <f ca="1">FTEXT(J22)</f>
        <v>#NAME?</v>
      </c>
    </row>
    <row r="23" spans="1:35" x14ac:dyDescent="0.35">
      <c r="A23" s="4"/>
      <c r="B23" s="4"/>
      <c r="D23" s="10" t="s">
        <v>10</v>
      </c>
      <c r="E23" s="8">
        <v>0</v>
      </c>
      <c r="I23" s="11" t="s">
        <v>10</v>
      </c>
      <c r="J23" s="8">
        <f>E23</f>
        <v>0</v>
      </c>
      <c r="L23" t="e">
        <f ca="1">FTEXT(J23)</f>
        <v>#NAME?</v>
      </c>
      <c r="AF23" t="e">
        <f t="array" aca="1" ref="AF23:AG26" ca="1">CorrelTest(A4:A18,B4:B18,J6,J13,TRUE)</f>
        <v>#NAME?</v>
      </c>
      <c r="AG23" s="6" t="e">
        <f ca="1"/>
        <v>#NAME?</v>
      </c>
      <c r="AI23" t="e">
        <f ca="1">FTEXT(AF23)</f>
        <v>#NAME?</v>
      </c>
    </row>
    <row r="24" spans="1:35" x14ac:dyDescent="0.35">
      <c r="A24" s="4"/>
      <c r="B24" s="4"/>
      <c r="D24" t="s">
        <v>12</v>
      </c>
      <c r="E24" s="8">
        <f>COUNT(A4:A18)</f>
        <v>15</v>
      </c>
      <c r="G24" t="e">
        <f ca="1">FTEXT(E24)</f>
        <v>#NAME?</v>
      </c>
      <c r="I24" s="7" t="s">
        <v>9</v>
      </c>
      <c r="J24" s="8">
        <f>FISHER(J22)</f>
        <v>-0.89413518216034948</v>
      </c>
      <c r="L24" t="e">
        <f ca="1">FTEXT(J24)</f>
        <v>#NAME?</v>
      </c>
      <c r="AF24" t="e">
        <f ca="1"/>
        <v>#NAME?</v>
      </c>
      <c r="AG24" s="8" t="e">
        <f ca="1"/>
        <v>#NAME?</v>
      </c>
    </row>
    <row r="25" spans="1:35" x14ac:dyDescent="0.35">
      <c r="A25" s="4"/>
      <c r="B25" s="4"/>
      <c r="D25" t="s">
        <v>14</v>
      </c>
      <c r="E25" s="8">
        <f>E24-2</f>
        <v>13</v>
      </c>
      <c r="G25" t="e">
        <f ca="1">FTEXT(E25)</f>
        <v>#NAME?</v>
      </c>
      <c r="I25" s="11" t="s">
        <v>15</v>
      </c>
      <c r="J25" s="9">
        <f>FISHER(J23)</f>
        <v>0</v>
      </c>
      <c r="L25" t="e">
        <f ca="1">FTEXT(J25)</f>
        <v>#NAME?</v>
      </c>
      <c r="AF25" t="e">
        <f ca="1"/>
        <v>#NAME?</v>
      </c>
      <c r="AG25" s="8" t="e">
        <f ca="1"/>
        <v>#NAME?</v>
      </c>
    </row>
    <row r="26" spans="1:35" ht="16.5" x14ac:dyDescent="0.45">
      <c r="A26" s="4"/>
      <c r="B26" s="4"/>
      <c r="D26" t="s">
        <v>16</v>
      </c>
      <c r="E26" s="8">
        <f>SQRT((1-E22^2)/E25)</f>
        <v>0.1943465157263681</v>
      </c>
      <c r="G26" t="e">
        <f ca="1">FTEXT(E26)</f>
        <v>#NAME?</v>
      </c>
      <c r="L26" t="e">
        <f ca="1">FTEXT(J26)</f>
        <v>#NAME?</v>
      </c>
      <c r="AF26" t="e">
        <f ca="1"/>
        <v>#NAME?</v>
      </c>
      <c r="AG26" s="9" t="e">
        <f ca="1"/>
        <v>#NAME?</v>
      </c>
    </row>
    <row r="27" spans="1:35" x14ac:dyDescent="0.35">
      <c r="A27" s="4"/>
      <c r="B27" s="4"/>
      <c r="D27" t="s">
        <v>18</v>
      </c>
      <c r="E27" s="8">
        <f>E22/E26</f>
        <v>-3.6709182653475567</v>
      </c>
      <c r="G27" t="e">
        <f ca="1">FTEXT(E27)</f>
        <v>#NAME?</v>
      </c>
      <c r="I27" s="7" t="s">
        <v>12</v>
      </c>
      <c r="J27" s="6">
        <f>E24</f>
        <v>15</v>
      </c>
      <c r="L27" t="e">
        <f ca="1">FTEXT(J27)</f>
        <v>#NAME?</v>
      </c>
    </row>
    <row r="28" spans="1:35" ht="16.5" x14ac:dyDescent="0.45">
      <c r="A28" s="4"/>
      <c r="B28" s="4"/>
      <c r="D28" t="s">
        <v>20</v>
      </c>
      <c r="E28" s="8">
        <v>0.05</v>
      </c>
      <c r="I28" s="7" t="s">
        <v>13</v>
      </c>
      <c r="J28" s="8">
        <f>1/SQRT(J27-3)</f>
        <v>0.28867513459481292</v>
      </c>
      <c r="L28" t="e">
        <f ca="1">FTEXT(J28)</f>
        <v>#NAME?</v>
      </c>
    </row>
    <row r="29" spans="1:35" x14ac:dyDescent="0.35">
      <c r="A29" s="4"/>
      <c r="B29" s="4"/>
      <c r="D29" t="s">
        <v>22</v>
      </c>
      <c r="E29" s="8">
        <f>TINV(2*E28,E25)</f>
        <v>1.7709333959868729</v>
      </c>
      <c r="G29" s="12" t="s">
        <v>35</v>
      </c>
      <c r="I29" t="s">
        <v>24</v>
      </c>
      <c r="J29" s="8">
        <f>(J24-J25)/J28</f>
        <v>-3.0973751286731566</v>
      </c>
      <c r="L29" t="e">
        <f ca="1">FTEXT(J29)</f>
        <v>#NAME?</v>
      </c>
    </row>
    <row r="30" spans="1:35" x14ac:dyDescent="0.35">
      <c r="A30" s="4"/>
      <c r="B30" s="4"/>
      <c r="D30" t="s">
        <v>26</v>
      </c>
      <c r="E30" s="8">
        <f>TDIST(ABS(E27),E25,1)</f>
        <v>1.4111714950356155E-3</v>
      </c>
      <c r="G30" s="12" t="s">
        <v>36</v>
      </c>
      <c r="I30" t="s">
        <v>20</v>
      </c>
      <c r="J30" s="8">
        <v>0.05</v>
      </c>
    </row>
    <row r="31" spans="1:35" x14ac:dyDescent="0.35">
      <c r="A31" s="4"/>
      <c r="B31" s="4"/>
      <c r="D31" t="s">
        <v>28</v>
      </c>
      <c r="E31" s="13" t="str">
        <f>IF(E30&lt;E28,"yes","no")</f>
        <v>yes</v>
      </c>
      <c r="G31" t="e">
        <f ca="1">FTEXT(E31)</f>
        <v>#NAME?</v>
      </c>
      <c r="I31" t="s">
        <v>11</v>
      </c>
      <c r="J31" s="8">
        <f>NORMSINV(J30)</f>
        <v>-1.6448536269514726</v>
      </c>
      <c r="L31" s="12" t="s">
        <v>37</v>
      </c>
    </row>
    <row r="32" spans="1:35" x14ac:dyDescent="0.35">
      <c r="A32" s="4"/>
      <c r="B32" s="4"/>
      <c r="I32" t="s">
        <v>26</v>
      </c>
      <c r="J32" s="8">
        <f>NORMSDIST(J29)</f>
        <v>9.7621316554129538E-4</v>
      </c>
      <c r="L32" s="12" t="s">
        <v>38</v>
      </c>
    </row>
    <row r="33" spans="7:12" x14ac:dyDescent="0.35">
      <c r="I33" t="s">
        <v>28</v>
      </c>
      <c r="J33" s="13" t="str">
        <f>IF(J32&lt;J30,"yes","no")</f>
        <v>yes</v>
      </c>
      <c r="K33" s="14"/>
      <c r="L33" t="e">
        <f ca="1">FTEXT(J33)</f>
        <v>#NAME?</v>
      </c>
    </row>
    <row r="36" spans="7:12" x14ac:dyDescent="0.35">
      <c r="G36" t="s">
        <v>39</v>
      </c>
    </row>
    <row r="38" spans="7:12" x14ac:dyDescent="0.35">
      <c r="G38" t="s">
        <v>40</v>
      </c>
      <c r="H38">
        <f>COUNT(A4:A18)</f>
        <v>15</v>
      </c>
      <c r="I38">
        <f>2*H38</f>
        <v>30</v>
      </c>
    </row>
    <row r="39" spans="7:12" x14ac:dyDescent="0.35">
      <c r="G39" t="s">
        <v>41</v>
      </c>
      <c r="H39">
        <f>AVERAGE(A4:A18)</f>
        <v>19.399999999999999</v>
      </c>
    </row>
    <row r="40" spans="7:12" x14ac:dyDescent="0.35">
      <c r="G40" t="s">
        <v>42</v>
      </c>
      <c r="H40">
        <f>STDEV(A4:A18)</f>
        <v>12.45448857698644</v>
      </c>
    </row>
    <row r="42" spans="7:12" x14ac:dyDescent="0.35">
      <c r="G42" t="s">
        <v>43</v>
      </c>
      <c r="H42" t="s">
        <v>44</v>
      </c>
      <c r="I42" t="s">
        <v>45</v>
      </c>
      <c r="J42" t="s">
        <v>46</v>
      </c>
    </row>
    <row r="43" spans="7:12" x14ac:dyDescent="0.35">
      <c r="G43">
        <v>1</v>
      </c>
      <c r="H43">
        <v>4</v>
      </c>
      <c r="I43">
        <f t="shared" ref="I43:I57" si="0">NORMSINV(G43/I$38)</f>
        <v>-1.8339146358159142</v>
      </c>
      <c r="J43">
        <f t="shared" ref="J43:J57" si="1">STANDARDIZE(H43,H$39,H$40)</f>
        <v>-1.2365019972362663</v>
      </c>
    </row>
    <row r="44" spans="7:12" x14ac:dyDescent="0.35">
      <c r="G44">
        <f>G43+2</f>
        <v>3</v>
      </c>
      <c r="H44">
        <v>4</v>
      </c>
      <c r="I44">
        <f t="shared" si="0"/>
        <v>-1.2815515655446006</v>
      </c>
      <c r="J44">
        <f t="shared" si="1"/>
        <v>-1.2365019972362663</v>
      </c>
    </row>
    <row r="45" spans="7:12" x14ac:dyDescent="0.35">
      <c r="G45">
        <f t="shared" ref="G45:G57" si="2">G44+2</f>
        <v>5</v>
      </c>
      <c r="H45">
        <v>5</v>
      </c>
      <c r="I45">
        <f t="shared" si="0"/>
        <v>-0.96742156610170071</v>
      </c>
      <c r="J45">
        <f t="shared" si="1"/>
        <v>-1.156209659753392</v>
      </c>
    </row>
    <row r="46" spans="7:12" x14ac:dyDescent="0.35">
      <c r="G46">
        <f t="shared" si="2"/>
        <v>7</v>
      </c>
      <c r="H46">
        <v>8</v>
      </c>
      <c r="I46">
        <f t="shared" si="0"/>
        <v>-0.72791329088164469</v>
      </c>
      <c r="J46">
        <f t="shared" si="1"/>
        <v>-0.9153326473047686</v>
      </c>
    </row>
    <row r="47" spans="7:12" x14ac:dyDescent="0.35">
      <c r="G47">
        <f t="shared" si="2"/>
        <v>9</v>
      </c>
      <c r="H47">
        <v>11</v>
      </c>
      <c r="I47">
        <f t="shared" si="0"/>
        <v>-0.52440051270804089</v>
      </c>
      <c r="J47">
        <f t="shared" si="1"/>
        <v>-0.67445563485614524</v>
      </c>
    </row>
    <row r="48" spans="7:12" x14ac:dyDescent="0.35">
      <c r="G48">
        <f t="shared" si="2"/>
        <v>11</v>
      </c>
      <c r="H48">
        <v>14</v>
      </c>
      <c r="I48">
        <f t="shared" si="0"/>
        <v>-0.34069482708779553</v>
      </c>
      <c r="J48">
        <f t="shared" si="1"/>
        <v>-0.43357862240752187</v>
      </c>
    </row>
    <row r="49" spans="7:10" x14ac:dyDescent="0.35">
      <c r="G49">
        <f t="shared" si="2"/>
        <v>13</v>
      </c>
      <c r="H49">
        <v>17</v>
      </c>
      <c r="I49">
        <f t="shared" si="0"/>
        <v>-0.16789400478810546</v>
      </c>
      <c r="J49">
        <f t="shared" si="1"/>
        <v>-0.19270160995889857</v>
      </c>
    </row>
    <row r="50" spans="7:10" x14ac:dyDescent="0.35">
      <c r="G50">
        <f t="shared" si="2"/>
        <v>15</v>
      </c>
      <c r="H50">
        <v>19</v>
      </c>
      <c r="I50">
        <f t="shared" si="0"/>
        <v>0</v>
      </c>
      <c r="J50">
        <f t="shared" si="1"/>
        <v>-3.2116934993149666E-2</v>
      </c>
    </row>
    <row r="51" spans="7:10" x14ac:dyDescent="0.35">
      <c r="G51">
        <f t="shared" si="2"/>
        <v>17</v>
      </c>
      <c r="H51">
        <v>23</v>
      </c>
      <c r="I51">
        <f t="shared" si="0"/>
        <v>0.16789400478810546</v>
      </c>
      <c r="J51">
        <f t="shared" si="1"/>
        <v>0.2890524149383481</v>
      </c>
    </row>
    <row r="52" spans="7:10" x14ac:dyDescent="0.35">
      <c r="G52">
        <f t="shared" si="2"/>
        <v>19</v>
      </c>
      <c r="H52">
        <v>23</v>
      </c>
      <c r="I52">
        <f t="shared" si="0"/>
        <v>0.34069482708779542</v>
      </c>
      <c r="J52">
        <f t="shared" si="1"/>
        <v>0.2890524149383481</v>
      </c>
    </row>
    <row r="53" spans="7:10" x14ac:dyDescent="0.35">
      <c r="G53">
        <f t="shared" si="2"/>
        <v>21</v>
      </c>
      <c r="H53">
        <v>25</v>
      </c>
      <c r="I53">
        <f t="shared" si="0"/>
        <v>0.52440051270804078</v>
      </c>
      <c r="J53">
        <f t="shared" si="1"/>
        <v>0.44963708990409701</v>
      </c>
    </row>
    <row r="54" spans="7:10" x14ac:dyDescent="0.35">
      <c r="G54">
        <f t="shared" si="2"/>
        <v>23</v>
      </c>
      <c r="H54">
        <v>26</v>
      </c>
      <c r="I54">
        <f t="shared" si="0"/>
        <v>0.72791329088164458</v>
      </c>
      <c r="J54">
        <f t="shared" si="1"/>
        <v>0.52992942738697146</v>
      </c>
    </row>
    <row r="55" spans="7:10" x14ac:dyDescent="0.35">
      <c r="G55">
        <f t="shared" si="2"/>
        <v>25</v>
      </c>
      <c r="H55">
        <v>29</v>
      </c>
      <c r="I55">
        <f t="shared" si="0"/>
        <v>0.96742156610170071</v>
      </c>
      <c r="J55">
        <f t="shared" si="1"/>
        <v>0.77080643983559483</v>
      </c>
    </row>
    <row r="56" spans="7:10" x14ac:dyDescent="0.35">
      <c r="G56">
        <f t="shared" si="2"/>
        <v>27</v>
      </c>
      <c r="H56">
        <v>35</v>
      </c>
      <c r="I56">
        <f t="shared" si="0"/>
        <v>1.2815515655446006</v>
      </c>
      <c r="J56">
        <f t="shared" si="1"/>
        <v>1.2525604647328414</v>
      </c>
    </row>
    <row r="57" spans="7:10" x14ac:dyDescent="0.35">
      <c r="G57">
        <f t="shared" si="2"/>
        <v>29</v>
      </c>
      <c r="H57">
        <v>48</v>
      </c>
      <c r="I57">
        <f t="shared" si="0"/>
        <v>1.8339146358159142</v>
      </c>
      <c r="J57">
        <f t="shared" si="1"/>
        <v>2.2963608520102095</v>
      </c>
    </row>
    <row r="60" spans="7:10" x14ac:dyDescent="0.35">
      <c r="G60" t="s">
        <v>39</v>
      </c>
    </row>
    <row r="62" spans="7:10" x14ac:dyDescent="0.35">
      <c r="G62" t="s">
        <v>40</v>
      </c>
      <c r="H62">
        <f>COUNT(B4:B18)</f>
        <v>15</v>
      </c>
      <c r="I62">
        <f>2*H62</f>
        <v>30</v>
      </c>
    </row>
    <row r="63" spans="7:10" x14ac:dyDescent="0.35">
      <c r="G63" t="s">
        <v>41</v>
      </c>
      <c r="H63">
        <f>AVERAGE(B4:B18)</f>
        <v>73.533333333333331</v>
      </c>
    </row>
    <row r="64" spans="7:10" x14ac:dyDescent="0.35">
      <c r="G64" t="s">
        <v>42</v>
      </c>
      <c r="H64">
        <f>STDEV(B4:B18)</f>
        <v>10.966616007988378</v>
      </c>
    </row>
    <row r="66" spans="7:10" x14ac:dyDescent="0.35">
      <c r="G66" t="s">
        <v>43</v>
      </c>
      <c r="H66" t="s">
        <v>44</v>
      </c>
      <c r="I66" t="s">
        <v>45</v>
      </c>
      <c r="J66" t="s">
        <v>46</v>
      </c>
    </row>
    <row r="67" spans="7:10" x14ac:dyDescent="0.35">
      <c r="G67">
        <v>1</v>
      </c>
      <c r="H67">
        <v>53</v>
      </c>
      <c r="I67">
        <f t="shared" ref="I67:I81" si="3">NORMSINV(G67/I$62)</f>
        <v>-1.8339146358159142</v>
      </c>
      <c r="J67">
        <f t="shared" ref="J67:J81" si="4">STANDARDIZE(H67,H$63,H$64)</f>
        <v>-1.8723490745345965</v>
      </c>
    </row>
    <row r="68" spans="7:10" x14ac:dyDescent="0.35">
      <c r="G68">
        <f>G67+2</f>
        <v>3</v>
      </c>
      <c r="H68">
        <v>58</v>
      </c>
      <c r="I68">
        <f t="shared" si="3"/>
        <v>-1.2815515655446006</v>
      </c>
      <c r="J68">
        <f t="shared" si="4"/>
        <v>-1.4164199167745486</v>
      </c>
    </row>
    <row r="69" spans="7:10" x14ac:dyDescent="0.35">
      <c r="G69">
        <f t="shared" ref="G69:G81" si="5">G68+2</f>
        <v>5</v>
      </c>
      <c r="H69">
        <v>60</v>
      </c>
      <c r="I69">
        <f t="shared" si="3"/>
        <v>-0.96742156610170071</v>
      </c>
      <c r="J69">
        <f t="shared" si="4"/>
        <v>-1.2340482536705295</v>
      </c>
    </row>
    <row r="70" spans="7:10" x14ac:dyDescent="0.35">
      <c r="G70">
        <f t="shared" si="5"/>
        <v>7</v>
      </c>
      <c r="H70">
        <v>65</v>
      </c>
      <c r="I70">
        <f t="shared" si="3"/>
        <v>-0.72791329088164469</v>
      </c>
      <c r="J70">
        <f t="shared" si="4"/>
        <v>-0.77811909591048156</v>
      </c>
    </row>
    <row r="71" spans="7:10" x14ac:dyDescent="0.35">
      <c r="G71">
        <f t="shared" si="5"/>
        <v>9</v>
      </c>
      <c r="H71">
        <v>68</v>
      </c>
      <c r="I71">
        <f t="shared" si="3"/>
        <v>-0.52440051270804089</v>
      </c>
      <c r="J71">
        <f t="shared" si="4"/>
        <v>-0.50456160125445282</v>
      </c>
    </row>
    <row r="72" spans="7:10" x14ac:dyDescent="0.35">
      <c r="G72">
        <f t="shared" si="5"/>
        <v>11</v>
      </c>
      <c r="H72">
        <v>72</v>
      </c>
      <c r="I72">
        <f t="shared" si="3"/>
        <v>-0.34069482708779553</v>
      </c>
      <c r="J72">
        <f t="shared" si="4"/>
        <v>-0.13981827504641453</v>
      </c>
    </row>
    <row r="73" spans="7:10" x14ac:dyDescent="0.35">
      <c r="G73">
        <f t="shared" si="5"/>
        <v>13</v>
      </c>
      <c r="H73">
        <v>73</v>
      </c>
      <c r="I73">
        <f t="shared" si="3"/>
        <v>-0.16789400478810546</v>
      </c>
      <c r="J73">
        <f t="shared" si="4"/>
        <v>-4.8632443494404938E-2</v>
      </c>
    </row>
    <row r="74" spans="7:10" x14ac:dyDescent="0.35">
      <c r="G74">
        <f t="shared" si="5"/>
        <v>15</v>
      </c>
      <c r="H74">
        <v>75</v>
      </c>
      <c r="I74">
        <f t="shared" si="3"/>
        <v>0</v>
      </c>
      <c r="J74">
        <f t="shared" si="4"/>
        <v>0.13373921960961421</v>
      </c>
    </row>
    <row r="75" spans="7:10" x14ac:dyDescent="0.35">
      <c r="G75">
        <f t="shared" si="5"/>
        <v>17</v>
      </c>
      <c r="H75">
        <v>78</v>
      </c>
      <c r="I75">
        <f t="shared" si="3"/>
        <v>0.16789400478810546</v>
      </c>
      <c r="J75">
        <f t="shared" si="4"/>
        <v>0.40729671426564296</v>
      </c>
    </row>
    <row r="76" spans="7:10" x14ac:dyDescent="0.35">
      <c r="G76">
        <f t="shared" si="5"/>
        <v>19</v>
      </c>
      <c r="H76">
        <v>79</v>
      </c>
      <c r="I76">
        <f t="shared" si="3"/>
        <v>0.34069482708779542</v>
      </c>
      <c r="J76">
        <f t="shared" si="4"/>
        <v>0.49848254581765256</v>
      </c>
    </row>
    <row r="77" spans="7:10" x14ac:dyDescent="0.35">
      <c r="G77">
        <f t="shared" si="5"/>
        <v>21</v>
      </c>
      <c r="H77">
        <v>80</v>
      </c>
      <c r="I77">
        <f t="shared" si="3"/>
        <v>0.52440051270804078</v>
      </c>
      <c r="J77">
        <f t="shared" si="4"/>
        <v>0.58966837736966216</v>
      </c>
    </row>
    <row r="78" spans="7:10" x14ac:dyDescent="0.35">
      <c r="G78">
        <f t="shared" si="5"/>
        <v>23</v>
      </c>
      <c r="H78">
        <v>81</v>
      </c>
      <c r="I78">
        <f t="shared" si="3"/>
        <v>0.72791329088164458</v>
      </c>
      <c r="J78">
        <f t="shared" si="4"/>
        <v>0.6808542089216717</v>
      </c>
    </row>
    <row r="79" spans="7:10" x14ac:dyDescent="0.35">
      <c r="G79">
        <f t="shared" si="5"/>
        <v>25</v>
      </c>
      <c r="H79">
        <v>84</v>
      </c>
      <c r="I79">
        <f t="shared" si="3"/>
        <v>0.96742156610170071</v>
      </c>
      <c r="J79">
        <f t="shared" si="4"/>
        <v>0.95441170357770044</v>
      </c>
    </row>
    <row r="80" spans="7:10" x14ac:dyDescent="0.35">
      <c r="G80">
        <f t="shared" si="5"/>
        <v>27</v>
      </c>
      <c r="H80">
        <v>85</v>
      </c>
      <c r="I80">
        <f t="shared" si="3"/>
        <v>1.2815515655446006</v>
      </c>
      <c r="J80">
        <f t="shared" si="4"/>
        <v>1.04559753512971</v>
      </c>
    </row>
    <row r="81" spans="7:10" x14ac:dyDescent="0.35">
      <c r="G81">
        <f t="shared" si="5"/>
        <v>29</v>
      </c>
      <c r="H81">
        <v>92</v>
      </c>
      <c r="I81">
        <f t="shared" si="3"/>
        <v>1.8339146358159142</v>
      </c>
      <c r="J81">
        <f t="shared" si="4"/>
        <v>1.683898355993777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B27F5-546B-4898-AA29-679B4F6717E1}">
  <sheetPr codeName="Sheet360"/>
  <dimension ref="A1:N20"/>
  <sheetViews>
    <sheetView workbookViewId="0"/>
  </sheetViews>
  <sheetFormatPr defaultRowHeight="14.5" x14ac:dyDescent="0.35"/>
  <cols>
    <col min="3" max="3" width="9.1796875" customWidth="1"/>
    <col min="4" max="4" width="10.54296875" customWidth="1"/>
    <col min="6" max="6" width="7" customWidth="1"/>
    <col min="10" max="10" width="10.54296875" customWidth="1"/>
    <col min="12" max="12" width="6.81640625" customWidth="1"/>
  </cols>
  <sheetData>
    <row r="1" spans="1:14" x14ac:dyDescent="0.35">
      <c r="A1" s="1" t="s">
        <v>47</v>
      </c>
      <c r="B1" s="1"/>
    </row>
    <row r="3" spans="1:14" x14ac:dyDescent="0.35">
      <c r="A3" s="2" t="s">
        <v>1</v>
      </c>
      <c r="B3" s="2" t="s">
        <v>2</v>
      </c>
      <c r="D3" t="s">
        <v>48</v>
      </c>
      <c r="J3" t="s">
        <v>48</v>
      </c>
    </row>
    <row r="4" spans="1:14" x14ac:dyDescent="0.35">
      <c r="A4" s="4">
        <v>5</v>
      </c>
      <c r="B4" s="5">
        <v>80</v>
      </c>
    </row>
    <row r="5" spans="1:14" x14ac:dyDescent="0.35">
      <c r="A5" s="4">
        <v>23</v>
      </c>
      <c r="B5" s="4">
        <v>78</v>
      </c>
      <c r="D5" t="s">
        <v>49</v>
      </c>
      <c r="E5" s="16">
        <f>CORREL(A4:A18,B4:B18)</f>
        <v>-0.71343017438658085</v>
      </c>
      <c r="J5" t="s">
        <v>49</v>
      </c>
      <c r="K5" s="16">
        <f>CORREL(A4:A18,B4:B18)</f>
        <v>-0.71343017438658085</v>
      </c>
    </row>
    <row r="6" spans="1:14" x14ac:dyDescent="0.35">
      <c r="A6" s="4">
        <v>25</v>
      </c>
      <c r="B6" s="4">
        <v>60</v>
      </c>
      <c r="D6" t="s">
        <v>50</v>
      </c>
      <c r="E6" s="17" t="e">
        <f ca="1">SCORREL(A4:A18,B4:B18)</f>
        <v>#NAME?</v>
      </c>
      <c r="J6" t="s">
        <v>50</v>
      </c>
      <c r="K6" s="17" t="e">
        <f ca="1">SCORREL(A4:A18,B4:B18)</f>
        <v>#NAME?</v>
      </c>
    </row>
    <row r="7" spans="1:14" x14ac:dyDescent="0.35">
      <c r="A7" s="4">
        <v>48</v>
      </c>
      <c r="B7" s="4">
        <v>53</v>
      </c>
      <c r="D7" t="s">
        <v>51</v>
      </c>
      <c r="E7" s="18" t="e">
        <f ca="1">KCORREL(A4:A18,B4:B18)</f>
        <v>#NAME?</v>
      </c>
      <c r="J7" t="s">
        <v>51</v>
      </c>
      <c r="K7" s="18" t="e">
        <f ca="1">KCORREL(A4:A18,B4:B18)</f>
        <v>#NAME?</v>
      </c>
    </row>
    <row r="8" spans="1:14" x14ac:dyDescent="0.35">
      <c r="A8" s="4">
        <v>17</v>
      </c>
      <c r="B8" s="4">
        <v>85</v>
      </c>
    </row>
    <row r="9" spans="1:14" x14ac:dyDescent="0.35">
      <c r="A9" s="4">
        <v>8</v>
      </c>
      <c r="B9" s="4">
        <v>84</v>
      </c>
      <c r="D9" t="s">
        <v>52</v>
      </c>
      <c r="G9" t="s">
        <v>53</v>
      </c>
      <c r="J9" t="s">
        <v>52</v>
      </c>
      <c r="M9" t="s">
        <v>53</v>
      </c>
    </row>
    <row r="10" spans="1:14" x14ac:dyDescent="0.35">
      <c r="A10" s="4">
        <v>4</v>
      </c>
      <c r="B10" s="4">
        <v>73</v>
      </c>
    </row>
    <row r="11" spans="1:14" x14ac:dyDescent="0.35">
      <c r="A11" s="4">
        <v>26</v>
      </c>
      <c r="B11" s="4">
        <v>79</v>
      </c>
      <c r="D11" t="s">
        <v>54</v>
      </c>
      <c r="E11" s="16">
        <v>0.05</v>
      </c>
      <c r="G11" t="s">
        <v>55</v>
      </c>
      <c r="H11" s="16">
        <v>0</v>
      </c>
      <c r="J11" t="s">
        <v>54</v>
      </c>
      <c r="K11" s="16">
        <v>0.05</v>
      </c>
      <c r="M11" t="s">
        <v>55</v>
      </c>
      <c r="N11" s="16">
        <v>0</v>
      </c>
    </row>
    <row r="12" spans="1:14" x14ac:dyDescent="0.35">
      <c r="A12" s="4">
        <v>11</v>
      </c>
      <c r="B12" s="4">
        <v>81</v>
      </c>
      <c r="D12" t="s">
        <v>56</v>
      </c>
      <c r="E12" s="18">
        <v>1</v>
      </c>
      <c r="G12" t="s">
        <v>54</v>
      </c>
      <c r="H12" s="17">
        <v>0.05</v>
      </c>
      <c r="J12" t="s">
        <v>56</v>
      </c>
      <c r="K12" s="18">
        <v>2</v>
      </c>
      <c r="M12" t="s">
        <v>54</v>
      </c>
      <c r="N12" s="17">
        <v>0.05</v>
      </c>
    </row>
    <row r="13" spans="1:14" x14ac:dyDescent="0.35">
      <c r="A13" s="4">
        <v>19</v>
      </c>
      <c r="B13" s="4">
        <v>75</v>
      </c>
      <c r="G13" t="s">
        <v>56</v>
      </c>
      <c r="H13" s="18">
        <v>1</v>
      </c>
      <c r="M13" t="s">
        <v>56</v>
      </c>
      <c r="N13" s="18">
        <v>2</v>
      </c>
    </row>
    <row r="14" spans="1:14" x14ac:dyDescent="0.35">
      <c r="A14" s="4">
        <v>14</v>
      </c>
      <c r="B14" s="4">
        <v>68</v>
      </c>
      <c r="D14" t="s">
        <v>57</v>
      </c>
      <c r="E14" s="16">
        <f>E5</f>
        <v>-0.71343017438658085</v>
      </c>
      <c r="J14" t="s">
        <v>57</v>
      </c>
      <c r="K14" s="16">
        <f>K5</f>
        <v>-0.71343017438658085</v>
      </c>
    </row>
    <row r="15" spans="1:14" x14ac:dyDescent="0.35">
      <c r="A15" s="4">
        <v>35</v>
      </c>
      <c r="B15" s="4">
        <v>72</v>
      </c>
      <c r="D15" t="s">
        <v>58</v>
      </c>
      <c r="E15" s="17" t="e">
        <f ca="1">E14/E16</f>
        <v>#NAME?</v>
      </c>
      <c r="G15" t="s">
        <v>57</v>
      </c>
      <c r="H15" s="16">
        <f>E5</f>
        <v>-0.71343017438658085</v>
      </c>
      <c r="J15" t="s">
        <v>58</v>
      </c>
      <c r="K15" s="17" t="e">
        <f ca="1">K14/K16</f>
        <v>#NAME?</v>
      </c>
      <c r="M15" t="s">
        <v>57</v>
      </c>
      <c r="N15" s="16">
        <f>K5</f>
        <v>-0.71343017438658085</v>
      </c>
    </row>
    <row r="16" spans="1:14" x14ac:dyDescent="0.35">
      <c r="A16" s="4">
        <v>29</v>
      </c>
      <c r="B16" s="4">
        <v>58</v>
      </c>
      <c r="D16" t="e">
        <f t="array" aca="1" ref="D16:E19" ca="1">CorrelTTest(A4:A18,B4:B18,E11,TRUE,E12)</f>
        <v>#NAME?</v>
      </c>
      <c r="E16" s="17" t="e">
        <f ca="1"/>
        <v>#NAME?</v>
      </c>
      <c r="G16" t="s">
        <v>58</v>
      </c>
      <c r="H16" s="17" t="e">
        <f ca="1">1/SQRT(CountPairs(A4:A18,B4:B18,FALSE)-1)</f>
        <v>#NAME?</v>
      </c>
      <c r="J16" t="e">
        <f t="array" aca="1" ref="J16:K19" ca="1">CorrelTTest(A4:A18,B4:B18,K11,TRUE,K12)</f>
        <v>#NAME?</v>
      </c>
      <c r="K16" s="17" t="e">
        <f ca="1"/>
        <v>#NAME?</v>
      </c>
      <c r="M16" t="s">
        <v>58</v>
      </c>
      <c r="N16" s="17" t="e">
        <f ca="1">1/SQRT(CountPairs(A4:A18,B4:B18,FALSE)-1)</f>
        <v>#NAME?</v>
      </c>
    </row>
    <row r="17" spans="1:14" x14ac:dyDescent="0.35">
      <c r="A17" s="4">
        <v>4</v>
      </c>
      <c r="B17" s="4">
        <v>92</v>
      </c>
      <c r="D17" t="e">
        <f ca="1"/>
        <v>#NAME?</v>
      </c>
      <c r="E17" s="17" t="e">
        <f ca="1"/>
        <v>#NAME?</v>
      </c>
      <c r="G17" t="e">
        <f t="array" aca="1" ref="G17:H20" ca="1">CorrelTest(A4:A18,B4:B18,H11,H12,TRUE,E12)</f>
        <v>#NAME?</v>
      </c>
      <c r="H17" s="17" t="e">
        <f ca="1"/>
        <v>#NAME?</v>
      </c>
      <c r="J17" t="e">
        <f ca="1"/>
        <v>#NAME?</v>
      </c>
      <c r="K17" s="17" t="e">
        <f ca="1"/>
        <v>#NAME?</v>
      </c>
      <c r="M17" t="e">
        <f t="array" aca="1" ref="M17:N20" ca="1">CorrelTest(A4:A18,B4:B18,N11,N12,TRUE,K12)</f>
        <v>#NAME?</v>
      </c>
      <c r="N17" s="17" t="e">
        <f ca="1"/>
        <v>#NAME?</v>
      </c>
    </row>
    <row r="18" spans="1:14" x14ac:dyDescent="0.35">
      <c r="A18" s="15">
        <v>23</v>
      </c>
      <c r="B18" s="15">
        <v>65</v>
      </c>
      <c r="D18" t="e">
        <f ca="1"/>
        <v>#NAME?</v>
      </c>
      <c r="E18" s="17" t="e">
        <f ca="1"/>
        <v>#NAME?</v>
      </c>
      <c r="G18" t="e">
        <f ca="1"/>
        <v>#NAME?</v>
      </c>
      <c r="H18" s="17" t="e">
        <f ca="1"/>
        <v>#NAME?</v>
      </c>
      <c r="J18" t="e">
        <f ca="1"/>
        <v>#NAME?</v>
      </c>
      <c r="K18" s="17" t="e">
        <f ca="1"/>
        <v>#NAME?</v>
      </c>
      <c r="M18" t="e">
        <f ca="1"/>
        <v>#NAME?</v>
      </c>
      <c r="N18" s="17" t="e">
        <f ca="1"/>
        <v>#NAME?</v>
      </c>
    </row>
    <row r="19" spans="1:14" x14ac:dyDescent="0.35">
      <c r="D19" t="e">
        <f ca="1"/>
        <v>#NAME?</v>
      </c>
      <c r="E19" s="18" t="e">
        <f ca="1"/>
        <v>#NAME?</v>
      </c>
      <c r="G19" t="e">
        <f ca="1"/>
        <v>#NAME?</v>
      </c>
      <c r="H19" s="17" t="e">
        <f ca="1"/>
        <v>#NAME?</v>
      </c>
      <c r="J19" t="e">
        <f ca="1"/>
        <v>#NAME?</v>
      </c>
      <c r="K19" s="18" t="e">
        <f ca="1"/>
        <v>#NAME?</v>
      </c>
      <c r="M19" t="e">
        <f ca="1"/>
        <v>#NAME?</v>
      </c>
      <c r="N19" s="17" t="e">
        <f ca="1"/>
        <v>#NAME?</v>
      </c>
    </row>
    <row r="20" spans="1:14" x14ac:dyDescent="0.35">
      <c r="G20" t="e">
        <f ca="1"/>
        <v>#NAME?</v>
      </c>
      <c r="H20" s="18" t="e">
        <f ca="1"/>
        <v>#NAME?</v>
      </c>
      <c r="M20" t="e">
        <f ca="1"/>
        <v>#NAME?</v>
      </c>
      <c r="N20" s="18" t="e">
        <f ca="1"/>
        <v>#NAME?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8D5B-0006-4CA2-A172-D4398F9D362E}">
  <sheetPr codeName="Sheet56"/>
  <dimension ref="A1:AF55"/>
  <sheetViews>
    <sheetView zoomScaleNormal="100" workbookViewId="0"/>
  </sheetViews>
  <sheetFormatPr defaultRowHeight="14.5" x14ac:dyDescent="0.35"/>
  <cols>
    <col min="1" max="1" width="15" customWidth="1"/>
    <col min="2" max="3" width="11.26953125" customWidth="1"/>
    <col min="4" max="4" width="7.54296875" customWidth="1"/>
    <col min="5" max="5" width="15.453125" customWidth="1"/>
    <col min="6" max="7" width="11.26953125" customWidth="1"/>
    <col min="10" max="10" width="10.26953125" customWidth="1"/>
    <col min="18" max="18" width="8.26953125" customWidth="1"/>
    <col min="19" max="19" width="10.1796875" customWidth="1"/>
    <col min="20" max="20" width="5.1796875" customWidth="1"/>
    <col min="21" max="21" width="22.26953125" customWidth="1"/>
    <col min="25" max="25" width="9.1796875" customWidth="1"/>
    <col min="26" max="26" width="3.26953125" customWidth="1"/>
    <col min="27" max="27" width="28" customWidth="1"/>
    <col min="31" max="31" width="3.26953125" customWidth="1"/>
    <col min="32" max="32" width="17.26953125" customWidth="1"/>
    <col min="250" max="250" width="15" customWidth="1"/>
    <col min="251" max="259" width="11.26953125" customWidth="1"/>
    <col min="506" max="506" width="15" customWidth="1"/>
    <col min="507" max="515" width="11.26953125" customWidth="1"/>
    <col min="762" max="762" width="15" customWidth="1"/>
    <col min="763" max="771" width="11.26953125" customWidth="1"/>
    <col min="1018" max="1018" width="15" customWidth="1"/>
    <col min="1019" max="1027" width="11.26953125" customWidth="1"/>
    <col min="1274" max="1274" width="15" customWidth="1"/>
    <col min="1275" max="1283" width="11.26953125" customWidth="1"/>
    <col min="1530" max="1530" width="15" customWidth="1"/>
    <col min="1531" max="1539" width="11.26953125" customWidth="1"/>
    <col min="1786" max="1786" width="15" customWidth="1"/>
    <col min="1787" max="1795" width="11.26953125" customWidth="1"/>
    <col min="2042" max="2042" width="15" customWidth="1"/>
    <col min="2043" max="2051" width="11.26953125" customWidth="1"/>
    <col min="2298" max="2298" width="15" customWidth="1"/>
    <col min="2299" max="2307" width="11.26953125" customWidth="1"/>
    <col min="2554" max="2554" width="15" customWidth="1"/>
    <col min="2555" max="2563" width="11.26953125" customWidth="1"/>
    <col min="2810" max="2810" width="15" customWidth="1"/>
    <col min="2811" max="2819" width="11.26953125" customWidth="1"/>
    <col min="3066" max="3066" width="15" customWidth="1"/>
    <col min="3067" max="3075" width="11.26953125" customWidth="1"/>
    <col min="3322" max="3322" width="15" customWidth="1"/>
    <col min="3323" max="3331" width="11.26953125" customWidth="1"/>
    <col min="3578" max="3578" width="15" customWidth="1"/>
    <col min="3579" max="3587" width="11.26953125" customWidth="1"/>
    <col min="3834" max="3834" width="15" customWidth="1"/>
    <col min="3835" max="3843" width="11.26953125" customWidth="1"/>
    <col min="4090" max="4090" width="15" customWidth="1"/>
    <col min="4091" max="4099" width="11.26953125" customWidth="1"/>
    <col min="4346" max="4346" width="15" customWidth="1"/>
    <col min="4347" max="4355" width="11.26953125" customWidth="1"/>
    <col min="4602" max="4602" width="15" customWidth="1"/>
    <col min="4603" max="4611" width="11.26953125" customWidth="1"/>
    <col min="4858" max="4858" width="15" customWidth="1"/>
    <col min="4859" max="4867" width="11.26953125" customWidth="1"/>
    <col min="5114" max="5114" width="15" customWidth="1"/>
    <col min="5115" max="5123" width="11.26953125" customWidth="1"/>
    <col min="5370" max="5370" width="15" customWidth="1"/>
    <col min="5371" max="5379" width="11.26953125" customWidth="1"/>
    <col min="5626" max="5626" width="15" customWidth="1"/>
    <col min="5627" max="5635" width="11.26953125" customWidth="1"/>
    <col min="5882" max="5882" width="15" customWidth="1"/>
    <col min="5883" max="5891" width="11.26953125" customWidth="1"/>
    <col min="6138" max="6138" width="15" customWidth="1"/>
    <col min="6139" max="6147" width="11.26953125" customWidth="1"/>
    <col min="6394" max="6394" width="15" customWidth="1"/>
    <col min="6395" max="6403" width="11.26953125" customWidth="1"/>
    <col min="6650" max="6650" width="15" customWidth="1"/>
    <col min="6651" max="6659" width="11.26953125" customWidth="1"/>
    <col min="6906" max="6906" width="15" customWidth="1"/>
    <col min="6907" max="6915" width="11.26953125" customWidth="1"/>
    <col min="7162" max="7162" width="15" customWidth="1"/>
    <col min="7163" max="7171" width="11.26953125" customWidth="1"/>
    <col min="7418" max="7418" width="15" customWidth="1"/>
    <col min="7419" max="7427" width="11.26953125" customWidth="1"/>
    <col min="7674" max="7674" width="15" customWidth="1"/>
    <col min="7675" max="7683" width="11.26953125" customWidth="1"/>
    <col min="7930" max="7930" width="15" customWidth="1"/>
    <col min="7931" max="7939" width="11.26953125" customWidth="1"/>
    <col min="8186" max="8186" width="15" customWidth="1"/>
    <col min="8187" max="8195" width="11.26953125" customWidth="1"/>
    <col min="8442" max="8442" width="15" customWidth="1"/>
    <col min="8443" max="8451" width="11.26953125" customWidth="1"/>
    <col min="8698" max="8698" width="15" customWidth="1"/>
    <col min="8699" max="8707" width="11.26953125" customWidth="1"/>
    <col min="8954" max="8954" width="15" customWidth="1"/>
    <col min="8955" max="8963" width="11.26953125" customWidth="1"/>
    <col min="9210" max="9210" width="15" customWidth="1"/>
    <col min="9211" max="9219" width="11.26953125" customWidth="1"/>
    <col min="9466" max="9466" width="15" customWidth="1"/>
    <col min="9467" max="9475" width="11.26953125" customWidth="1"/>
    <col min="9722" max="9722" width="15" customWidth="1"/>
    <col min="9723" max="9731" width="11.26953125" customWidth="1"/>
    <col min="9978" max="9978" width="15" customWidth="1"/>
    <col min="9979" max="9987" width="11.26953125" customWidth="1"/>
    <col min="10234" max="10234" width="15" customWidth="1"/>
    <col min="10235" max="10243" width="11.26953125" customWidth="1"/>
    <col min="10490" max="10490" width="15" customWidth="1"/>
    <col min="10491" max="10499" width="11.26953125" customWidth="1"/>
    <col min="10746" max="10746" width="15" customWidth="1"/>
    <col min="10747" max="10755" width="11.26953125" customWidth="1"/>
    <col min="11002" max="11002" width="15" customWidth="1"/>
    <col min="11003" max="11011" width="11.26953125" customWidth="1"/>
    <col min="11258" max="11258" width="15" customWidth="1"/>
    <col min="11259" max="11267" width="11.26953125" customWidth="1"/>
    <col min="11514" max="11514" width="15" customWidth="1"/>
    <col min="11515" max="11523" width="11.26953125" customWidth="1"/>
    <col min="11770" max="11770" width="15" customWidth="1"/>
    <col min="11771" max="11779" width="11.26953125" customWidth="1"/>
    <col min="12026" max="12026" width="15" customWidth="1"/>
    <col min="12027" max="12035" width="11.26953125" customWidth="1"/>
    <col min="12282" max="12282" width="15" customWidth="1"/>
    <col min="12283" max="12291" width="11.26953125" customWidth="1"/>
    <col min="12538" max="12538" width="15" customWidth="1"/>
    <col min="12539" max="12547" width="11.26953125" customWidth="1"/>
    <col min="12794" max="12794" width="15" customWidth="1"/>
    <col min="12795" max="12803" width="11.26953125" customWidth="1"/>
    <col min="13050" max="13050" width="15" customWidth="1"/>
    <col min="13051" max="13059" width="11.26953125" customWidth="1"/>
    <col min="13306" max="13306" width="15" customWidth="1"/>
    <col min="13307" max="13315" width="11.26953125" customWidth="1"/>
    <col min="13562" max="13562" width="15" customWidth="1"/>
    <col min="13563" max="13571" width="11.26953125" customWidth="1"/>
    <col min="13818" max="13818" width="15" customWidth="1"/>
    <col min="13819" max="13827" width="11.26953125" customWidth="1"/>
    <col min="14074" max="14074" width="15" customWidth="1"/>
    <col min="14075" max="14083" width="11.26953125" customWidth="1"/>
    <col min="14330" max="14330" width="15" customWidth="1"/>
    <col min="14331" max="14339" width="11.26953125" customWidth="1"/>
    <col min="14586" max="14586" width="15" customWidth="1"/>
    <col min="14587" max="14595" width="11.26953125" customWidth="1"/>
    <col min="14842" max="14842" width="15" customWidth="1"/>
    <col min="14843" max="14851" width="11.26953125" customWidth="1"/>
    <col min="15098" max="15098" width="15" customWidth="1"/>
    <col min="15099" max="15107" width="11.26953125" customWidth="1"/>
    <col min="15354" max="15354" width="15" customWidth="1"/>
    <col min="15355" max="15363" width="11.26953125" customWidth="1"/>
    <col min="15610" max="15610" width="15" customWidth="1"/>
    <col min="15611" max="15619" width="11.26953125" customWidth="1"/>
    <col min="15866" max="15866" width="15" customWidth="1"/>
    <col min="15867" max="15875" width="11.26953125" customWidth="1"/>
    <col min="16122" max="16122" width="15" customWidth="1"/>
    <col min="16123" max="16131" width="11.26953125" customWidth="1"/>
  </cols>
  <sheetData>
    <row r="1" spans="1:32" ht="16" x14ac:dyDescent="0.4">
      <c r="A1" s="19" t="s">
        <v>59</v>
      </c>
      <c r="B1" s="20"/>
      <c r="C1" s="20"/>
    </row>
    <row r="2" spans="1:32" x14ac:dyDescent="0.35">
      <c r="A2" s="20"/>
      <c r="B2" s="20"/>
      <c r="C2" s="20"/>
    </row>
    <row r="3" spans="1:32" ht="16" x14ac:dyDescent="0.4">
      <c r="A3" s="21" t="s">
        <v>60</v>
      </c>
      <c r="B3" s="22" t="s">
        <v>61</v>
      </c>
      <c r="C3" s="22" t="s">
        <v>62</v>
      </c>
      <c r="D3" s="23"/>
      <c r="E3" s="21" t="s">
        <v>60</v>
      </c>
      <c r="F3" s="22" t="s">
        <v>61</v>
      </c>
      <c r="G3" s="22" t="s">
        <v>62</v>
      </c>
      <c r="R3" t="s">
        <v>63</v>
      </c>
      <c r="X3" t="s">
        <v>4</v>
      </c>
      <c r="AC3" t="s">
        <v>5</v>
      </c>
    </row>
    <row r="4" spans="1:32" ht="16" x14ac:dyDescent="0.4">
      <c r="A4" s="24" t="s">
        <v>64</v>
      </c>
      <c r="B4" s="25">
        <v>15.7</v>
      </c>
      <c r="C4" s="26">
        <v>9</v>
      </c>
      <c r="D4" s="23"/>
      <c r="E4" s="24" t="s">
        <v>65</v>
      </c>
      <c r="F4" s="25">
        <v>14.8</v>
      </c>
      <c r="G4" s="26">
        <v>5.8</v>
      </c>
    </row>
    <row r="5" spans="1:32" ht="16" x14ac:dyDescent="0.4">
      <c r="A5" s="24" t="s">
        <v>66</v>
      </c>
      <c r="B5" s="25">
        <v>8.4</v>
      </c>
      <c r="C5" s="26">
        <v>6.9</v>
      </c>
      <c r="D5" s="23"/>
      <c r="E5" s="24" t="s">
        <v>67</v>
      </c>
      <c r="F5" s="25">
        <v>10.8</v>
      </c>
      <c r="G5" s="26">
        <v>5.6</v>
      </c>
      <c r="R5" t="s">
        <v>8</v>
      </c>
      <c r="S5" s="6">
        <f>CORREL(B4:B53,C4:C53)</f>
        <v>0.56442956793415189</v>
      </c>
      <c r="U5" t="e">
        <f ca="1">FTEXT(S5)</f>
        <v>#NAME?</v>
      </c>
      <c r="X5" s="7" t="s">
        <v>8</v>
      </c>
      <c r="Y5" s="6">
        <f>S5</f>
        <v>0.56442956793415189</v>
      </c>
      <c r="AA5" t="e">
        <f ca="1">FTEXT(Y5)</f>
        <v>#NAME?</v>
      </c>
      <c r="AC5" t="s">
        <v>9</v>
      </c>
      <c r="AD5" s="6">
        <f>Y7</f>
        <v>0.63931001653968411</v>
      </c>
      <c r="AF5" t="e">
        <f ca="1">FTEXT(AD5)</f>
        <v>#NAME?</v>
      </c>
    </row>
    <row r="6" spans="1:32" ht="16" x14ac:dyDescent="0.4">
      <c r="A6" s="24" t="s">
        <v>68</v>
      </c>
      <c r="B6" s="25">
        <v>14.7</v>
      </c>
      <c r="C6" s="26">
        <v>6.4</v>
      </c>
      <c r="D6" s="23"/>
      <c r="E6" s="24" t="s">
        <v>69</v>
      </c>
      <c r="F6" s="25">
        <v>11.3</v>
      </c>
      <c r="G6" s="26">
        <v>6.4</v>
      </c>
      <c r="R6" s="10" t="s">
        <v>10</v>
      </c>
      <c r="S6" s="8">
        <v>0</v>
      </c>
      <c r="X6" s="11" t="s">
        <v>10</v>
      </c>
      <c r="Y6" s="8">
        <f>S6</f>
        <v>0</v>
      </c>
      <c r="AA6" t="e">
        <f ca="1">FTEXT(Y6)</f>
        <v>#NAME?</v>
      </c>
      <c r="AC6" t="s">
        <v>11</v>
      </c>
      <c r="AD6" s="8">
        <f>Y14</f>
        <v>1.9599639845400536</v>
      </c>
      <c r="AF6" t="e">
        <f ca="1">FTEXT(AD6)</f>
        <v>#NAME?</v>
      </c>
    </row>
    <row r="7" spans="1:32" ht="16.5" x14ac:dyDescent="0.45">
      <c r="A7" s="24" t="s">
        <v>70</v>
      </c>
      <c r="B7" s="25">
        <v>17.3</v>
      </c>
      <c r="C7" s="26">
        <v>8.5</v>
      </c>
      <c r="D7" s="23"/>
      <c r="E7" s="24" t="s">
        <v>71</v>
      </c>
      <c r="F7" s="25">
        <v>7.6</v>
      </c>
      <c r="G7" s="26">
        <v>6.1</v>
      </c>
      <c r="R7" t="s">
        <v>12</v>
      </c>
      <c r="S7" s="8">
        <f>COUNT(B4:B53)</f>
        <v>50</v>
      </c>
      <c r="U7" t="e">
        <f ca="1">FTEXT(S7)</f>
        <v>#NAME?</v>
      </c>
      <c r="X7" s="7" t="s">
        <v>9</v>
      </c>
      <c r="Y7" s="8">
        <f>FISHER(Y5)</f>
        <v>0.63931001653968411</v>
      </c>
      <c r="AA7" t="e">
        <f ca="1">FTEXT(Y7)</f>
        <v>#NAME?</v>
      </c>
      <c r="AC7" s="7" t="s">
        <v>13</v>
      </c>
      <c r="AD7" s="9">
        <f>Y11</f>
        <v>0.14586499149789456</v>
      </c>
      <c r="AF7" t="e">
        <f ca="1">FTEXT(AD7)</f>
        <v>#NAME?</v>
      </c>
    </row>
    <row r="8" spans="1:32" ht="16" x14ac:dyDescent="0.4">
      <c r="A8" s="24" t="s">
        <v>72</v>
      </c>
      <c r="B8" s="25">
        <v>13.3</v>
      </c>
      <c r="C8" s="26">
        <v>5</v>
      </c>
      <c r="D8" s="23"/>
      <c r="E8" s="24" t="s">
        <v>73</v>
      </c>
      <c r="F8" s="25">
        <v>8.6999999999999993</v>
      </c>
      <c r="G8" s="26">
        <v>5.5</v>
      </c>
      <c r="R8" t="s">
        <v>14</v>
      </c>
      <c r="S8" s="8">
        <f>S7-2</f>
        <v>48</v>
      </c>
      <c r="U8" t="e">
        <f ca="1">FTEXT(S8)</f>
        <v>#NAME?</v>
      </c>
      <c r="X8" s="11" t="s">
        <v>15</v>
      </c>
      <c r="Y8" s="9">
        <f>FISHER(Y6)</f>
        <v>0</v>
      </c>
      <c r="AA8" t="e">
        <f ca="1">FTEXT(Y8)</f>
        <v>#NAME?</v>
      </c>
      <c r="AF8" t="e">
        <f ca="1">FTEXT(AD8)</f>
        <v>#NAME?</v>
      </c>
    </row>
    <row r="9" spans="1:32" ht="16.5" x14ac:dyDescent="0.45">
      <c r="A9" s="24" t="s">
        <v>74</v>
      </c>
      <c r="B9" s="25">
        <v>11.4</v>
      </c>
      <c r="C9" s="26">
        <v>5.7</v>
      </c>
      <c r="D9" s="23"/>
      <c r="E9" s="24" t="s">
        <v>75</v>
      </c>
      <c r="F9" s="25">
        <v>17.100000000000001</v>
      </c>
      <c r="G9" s="26">
        <v>5.8</v>
      </c>
      <c r="R9" t="s">
        <v>16</v>
      </c>
      <c r="S9" s="8">
        <f>SQRT((1-S5^2)/S8)</f>
        <v>0.11914795274168466</v>
      </c>
      <c r="U9" t="e">
        <f ca="1">FTEXT(S9)</f>
        <v>#NAME?</v>
      </c>
      <c r="AA9" t="e">
        <f ca="1">FTEXT(Y9)</f>
        <v>#NAME?</v>
      </c>
      <c r="AC9" t="s">
        <v>17</v>
      </c>
      <c r="AD9" s="6">
        <f>AD5-AD6*AD7</f>
        <v>0.35341988659856965</v>
      </c>
      <c r="AF9" t="e">
        <f ca="1">FTEXT(AD9)</f>
        <v>#NAME?</v>
      </c>
    </row>
    <row r="10" spans="1:32" ht="16" x14ac:dyDescent="0.4">
      <c r="A10" s="24" t="s">
        <v>76</v>
      </c>
      <c r="B10" s="25">
        <v>9.3000000000000007</v>
      </c>
      <c r="C10" s="26">
        <v>6.2</v>
      </c>
      <c r="D10" s="23"/>
      <c r="E10" s="24" t="s">
        <v>77</v>
      </c>
      <c r="F10" s="25">
        <v>13.6</v>
      </c>
      <c r="G10" s="26">
        <v>5.6</v>
      </c>
      <c r="R10" t="s">
        <v>18</v>
      </c>
      <c r="S10" s="8">
        <f>(S5-S6)/S9</f>
        <v>4.7372158307902064</v>
      </c>
      <c r="U10" t="e">
        <f ca="1">FTEXT(S10)</f>
        <v>#NAME?</v>
      </c>
      <c r="X10" s="7" t="s">
        <v>12</v>
      </c>
      <c r="Y10" s="6">
        <f>S7</f>
        <v>50</v>
      </c>
      <c r="AA10" t="e">
        <f ca="1">FTEXT(Y10)</f>
        <v>#NAME?</v>
      </c>
      <c r="AC10" t="s">
        <v>19</v>
      </c>
      <c r="AD10" s="8">
        <f>AD5+AD6*AD7</f>
        <v>0.92520014648079862</v>
      </c>
      <c r="AF10" t="e">
        <f ca="1">FTEXT(AD10)</f>
        <v>#NAME?</v>
      </c>
    </row>
    <row r="11" spans="1:32" ht="16.5" x14ac:dyDescent="0.45">
      <c r="A11" s="24" t="s">
        <v>78</v>
      </c>
      <c r="B11" s="27">
        <v>10</v>
      </c>
      <c r="C11" s="26">
        <v>8.3000000000000007</v>
      </c>
      <c r="D11" s="23"/>
      <c r="E11" s="24" t="s">
        <v>79</v>
      </c>
      <c r="F11" s="25">
        <v>14.6</v>
      </c>
      <c r="G11" s="26">
        <v>8.1</v>
      </c>
      <c r="R11" t="s">
        <v>20</v>
      </c>
      <c r="S11" s="8">
        <v>0.05</v>
      </c>
      <c r="X11" s="7" t="s">
        <v>13</v>
      </c>
      <c r="Y11" s="8">
        <f>1/SQRT(Y10-3)</f>
        <v>0.14586499149789456</v>
      </c>
      <c r="AA11" t="e">
        <f ca="1">FTEXT(Y11)</f>
        <v>#NAME?</v>
      </c>
      <c r="AC11" t="s">
        <v>21</v>
      </c>
      <c r="AD11" s="8">
        <f>FISHERINV(AD9)</f>
        <v>0.33940497910297668</v>
      </c>
      <c r="AF11" t="e">
        <f ca="1">FTEXT(AD11)</f>
        <v>#NAME?</v>
      </c>
    </row>
    <row r="12" spans="1:32" ht="16" x14ac:dyDescent="0.4">
      <c r="A12" s="24" t="s">
        <v>80</v>
      </c>
      <c r="B12" s="25">
        <v>13.2</v>
      </c>
      <c r="C12" s="26">
        <v>7.3</v>
      </c>
      <c r="D12" s="23"/>
      <c r="E12" s="24" t="s">
        <v>81</v>
      </c>
      <c r="F12" s="28">
        <v>12</v>
      </c>
      <c r="G12" s="26">
        <v>5.8</v>
      </c>
      <c r="R12" t="s">
        <v>22</v>
      </c>
      <c r="S12" s="8">
        <f>TINV(S11,S8)</f>
        <v>2.0106347576242314</v>
      </c>
      <c r="U12" s="12" t="s">
        <v>82</v>
      </c>
      <c r="X12" t="s">
        <v>24</v>
      </c>
      <c r="Y12" s="8">
        <f>(Y7-Y8)/Y11</f>
        <v>4.3828886559727529</v>
      </c>
      <c r="AA12" t="e">
        <f ca="1">FTEXT(Y12)</f>
        <v>#NAME?</v>
      </c>
      <c r="AC12" t="s">
        <v>25</v>
      </c>
      <c r="AD12" s="9">
        <f>FISHERINV(AD10)</f>
        <v>0.72834819023803221</v>
      </c>
      <c r="AF12" t="e">
        <f ca="1">FTEXT(AD12)</f>
        <v>#NAME?</v>
      </c>
    </row>
    <row r="13" spans="1:32" ht="16" x14ac:dyDescent="0.4">
      <c r="A13" s="24" t="s">
        <v>83</v>
      </c>
      <c r="B13" s="25">
        <v>14.7</v>
      </c>
      <c r="C13" s="26">
        <v>8.1</v>
      </c>
      <c r="D13" s="23"/>
      <c r="E13" s="24" t="s">
        <v>84</v>
      </c>
      <c r="F13" s="25">
        <v>13.4</v>
      </c>
      <c r="G13" s="26">
        <v>7.8</v>
      </c>
      <c r="R13" t="s">
        <v>26</v>
      </c>
      <c r="S13" s="8">
        <f>TDIST(S10,S8,2)</f>
        <v>1.960732728695657E-5</v>
      </c>
      <c r="U13" s="12" t="s">
        <v>85</v>
      </c>
      <c r="X13" t="s">
        <v>20</v>
      </c>
      <c r="Y13" s="8">
        <v>0.05</v>
      </c>
    </row>
    <row r="14" spans="1:32" ht="16" x14ac:dyDescent="0.4">
      <c r="A14" s="24" t="s">
        <v>86</v>
      </c>
      <c r="B14" s="25">
        <v>9.1</v>
      </c>
      <c r="C14" s="26">
        <v>5.6</v>
      </c>
      <c r="D14" s="23"/>
      <c r="E14" s="24" t="s">
        <v>87</v>
      </c>
      <c r="F14" s="25">
        <v>15.9</v>
      </c>
      <c r="G14" s="26">
        <v>8</v>
      </c>
      <c r="R14" t="s">
        <v>28</v>
      </c>
      <c r="S14" s="13" t="str">
        <f>IF(S13&lt;S11,"yes","no")</f>
        <v>yes</v>
      </c>
      <c r="U14" t="e">
        <f ca="1">FTEXT(S14)</f>
        <v>#NAME?</v>
      </c>
      <c r="X14" t="s">
        <v>11</v>
      </c>
      <c r="Y14" s="8">
        <f>NORMSINV(1-Y13/2)</f>
        <v>1.9599639845400536</v>
      </c>
      <c r="AA14" s="12" t="s">
        <v>88</v>
      </c>
    </row>
    <row r="15" spans="1:32" ht="16" x14ac:dyDescent="0.4">
      <c r="A15" s="24" t="s">
        <v>89</v>
      </c>
      <c r="B15" s="25">
        <v>12.6</v>
      </c>
      <c r="C15" s="26">
        <v>6.8</v>
      </c>
      <c r="D15" s="23"/>
      <c r="E15" s="24" t="s">
        <v>90</v>
      </c>
      <c r="F15" s="25">
        <v>13.6</v>
      </c>
      <c r="G15" s="26">
        <v>5.5</v>
      </c>
      <c r="R15" t="s">
        <v>31</v>
      </c>
      <c r="S15" s="6">
        <f>S5-S12*S9</f>
        <v>0.32486655285195137</v>
      </c>
      <c r="U15" t="e">
        <f ca="1">FTEXT(S15)</f>
        <v>#NAME?</v>
      </c>
      <c r="X15" t="s">
        <v>26</v>
      </c>
      <c r="Y15" s="8">
        <f>2*(1-NORMSDIST(Y12))</f>
        <v>1.1711597685204467E-5</v>
      </c>
      <c r="AA15" s="12" t="s">
        <v>91</v>
      </c>
    </row>
    <row r="16" spans="1:32" ht="16" x14ac:dyDescent="0.4">
      <c r="A16" s="24" t="s">
        <v>92</v>
      </c>
      <c r="B16" s="25">
        <v>12.2</v>
      </c>
      <c r="C16" s="26">
        <v>7.3</v>
      </c>
      <c r="D16" s="23"/>
      <c r="E16" s="24" t="s">
        <v>93</v>
      </c>
      <c r="F16" s="25">
        <v>12.1</v>
      </c>
      <c r="G16" s="26">
        <v>7.6</v>
      </c>
      <c r="R16" t="s">
        <v>32</v>
      </c>
      <c r="S16" s="9">
        <f>S5+S12*S9</f>
        <v>0.80399258301635235</v>
      </c>
      <c r="U16" t="e">
        <f ca="1">FTEXT(S16)</f>
        <v>#NAME?</v>
      </c>
      <c r="X16" t="s">
        <v>28</v>
      </c>
      <c r="Y16" s="13" t="str">
        <f>IF(Y15&lt;Y13,"yes","no")</f>
        <v>yes</v>
      </c>
      <c r="Z16" s="14"/>
      <c r="AA16" t="e">
        <f ca="1">FTEXT(Y16)</f>
        <v>#NAME?</v>
      </c>
    </row>
    <row r="17" spans="1:27" ht="16" x14ac:dyDescent="0.4">
      <c r="A17" s="24" t="s">
        <v>94</v>
      </c>
      <c r="B17" s="25">
        <v>13.1</v>
      </c>
      <c r="C17" s="26">
        <v>8</v>
      </c>
      <c r="D17" s="23"/>
      <c r="E17" s="24" t="s">
        <v>95</v>
      </c>
      <c r="F17" s="25">
        <v>11.7</v>
      </c>
      <c r="G17" s="26">
        <v>6.1</v>
      </c>
      <c r="AA17" t="e">
        <f ca="1">FTEXT(Y17)</f>
        <v>#NAME?</v>
      </c>
    </row>
    <row r="18" spans="1:27" ht="16" x14ac:dyDescent="0.4">
      <c r="A18" s="24" t="s">
        <v>96</v>
      </c>
      <c r="B18" s="25">
        <v>11.5</v>
      </c>
      <c r="C18" s="26">
        <v>5.0999999999999996</v>
      </c>
      <c r="D18" s="23"/>
      <c r="E18" s="24" t="s">
        <v>97</v>
      </c>
      <c r="F18" s="25">
        <v>15.7</v>
      </c>
      <c r="G18" s="26">
        <v>8.4</v>
      </c>
      <c r="R18" t="s">
        <v>98</v>
      </c>
      <c r="X18" t="s">
        <v>34</v>
      </c>
    </row>
    <row r="19" spans="1:27" ht="16" x14ac:dyDescent="0.4">
      <c r="A19" s="24" t="s">
        <v>99</v>
      </c>
      <c r="B19" s="25">
        <v>11.3</v>
      </c>
      <c r="C19" s="26">
        <v>7.1</v>
      </c>
      <c r="D19" s="23"/>
      <c r="E19" s="24" t="s">
        <v>100</v>
      </c>
      <c r="F19" s="25">
        <v>12.5</v>
      </c>
      <c r="G19" s="26">
        <v>6.9</v>
      </c>
    </row>
    <row r="20" spans="1:27" ht="16" x14ac:dyDescent="0.4">
      <c r="A20" s="24" t="s">
        <v>101</v>
      </c>
      <c r="B20" s="25">
        <v>17.3</v>
      </c>
      <c r="C20" s="26">
        <v>7.5</v>
      </c>
      <c r="D20" s="23"/>
      <c r="E20" s="24" t="s">
        <v>102</v>
      </c>
      <c r="F20" s="25">
        <v>15.5</v>
      </c>
      <c r="G20" s="26">
        <v>8.6999999999999993</v>
      </c>
      <c r="R20" t="s">
        <v>8</v>
      </c>
      <c r="S20" s="6">
        <f>CORREL(B4:B53,C4:C53)</f>
        <v>0.56442956793415189</v>
      </c>
      <c r="U20" t="e">
        <f ca="1">FTEXT(S20)</f>
        <v>#NAME?</v>
      </c>
      <c r="X20" s="7" t="s">
        <v>8</v>
      </c>
      <c r="Y20" s="6">
        <f>S20</f>
        <v>0.56442956793415189</v>
      </c>
      <c r="AA20" t="e">
        <f ca="1">FTEXT(Y20)</f>
        <v>#NAME?</v>
      </c>
    </row>
    <row r="21" spans="1:27" ht="16" x14ac:dyDescent="0.4">
      <c r="A21" s="24" t="s">
        <v>103</v>
      </c>
      <c r="B21" s="25">
        <v>17.3</v>
      </c>
      <c r="C21" s="26">
        <v>9.9</v>
      </c>
      <c r="D21" s="23"/>
      <c r="E21" s="24" t="s">
        <v>104</v>
      </c>
      <c r="F21" s="25">
        <v>15.8</v>
      </c>
      <c r="G21" s="26">
        <v>6.2</v>
      </c>
      <c r="R21" s="10" t="s">
        <v>10</v>
      </c>
      <c r="S21" s="8">
        <v>0</v>
      </c>
      <c r="X21" s="11" t="s">
        <v>10</v>
      </c>
      <c r="Y21" s="8">
        <f>S21</f>
        <v>0</v>
      </c>
      <c r="AA21" t="e">
        <f ca="1">FTEXT(Y21)</f>
        <v>#NAME?</v>
      </c>
    </row>
    <row r="22" spans="1:27" ht="16" x14ac:dyDescent="0.4">
      <c r="A22" s="24" t="s">
        <v>105</v>
      </c>
      <c r="B22" s="25">
        <v>12.3</v>
      </c>
      <c r="C22" s="26">
        <v>6.3</v>
      </c>
      <c r="D22" s="23"/>
      <c r="E22" s="24" t="s">
        <v>106</v>
      </c>
      <c r="F22" s="25">
        <v>9.6</v>
      </c>
      <c r="G22" s="26">
        <v>5.0999999999999996</v>
      </c>
      <c r="R22" t="s">
        <v>12</v>
      </c>
      <c r="S22" s="8">
        <f>COUNT(B4:B53)</f>
        <v>50</v>
      </c>
      <c r="U22" t="e">
        <f ca="1">FTEXT(S22)</f>
        <v>#NAME?</v>
      </c>
      <c r="X22" s="7" t="s">
        <v>9</v>
      </c>
      <c r="Y22" s="8">
        <f>FISHER(Y20)</f>
        <v>0.63931001653968411</v>
      </c>
      <c r="AA22" t="e">
        <f ca="1">FTEXT(Y22)</f>
        <v>#NAME?</v>
      </c>
    </row>
    <row r="23" spans="1:27" ht="16" x14ac:dyDescent="0.4">
      <c r="A23" s="24" t="s">
        <v>107</v>
      </c>
      <c r="B23" s="25">
        <v>8.1</v>
      </c>
      <c r="C23" s="26">
        <v>8</v>
      </c>
      <c r="D23" s="23"/>
      <c r="E23" s="24" t="s">
        <v>108</v>
      </c>
      <c r="F23" s="25">
        <v>10.6</v>
      </c>
      <c r="G23" s="26">
        <v>5.5</v>
      </c>
      <c r="R23" t="s">
        <v>14</v>
      </c>
      <c r="S23" s="8">
        <f>S22-2</f>
        <v>48</v>
      </c>
      <c r="U23" t="e">
        <f ca="1">FTEXT(S23)</f>
        <v>#NAME?</v>
      </c>
      <c r="X23" s="11" t="s">
        <v>15</v>
      </c>
      <c r="Y23" s="9">
        <f>FISHER(Y21)</f>
        <v>0</v>
      </c>
      <c r="AA23" t="e">
        <f ca="1">FTEXT(Y23)</f>
        <v>#NAME?</v>
      </c>
    </row>
    <row r="24" spans="1:27" ht="16.5" x14ac:dyDescent="0.45">
      <c r="A24" s="24" t="s">
        <v>109</v>
      </c>
      <c r="B24" s="27">
        <v>10</v>
      </c>
      <c r="C24" s="26">
        <v>4.8</v>
      </c>
      <c r="D24" s="23"/>
      <c r="E24" s="24" t="s">
        <v>110</v>
      </c>
      <c r="F24" s="25">
        <v>10.199999999999999</v>
      </c>
      <c r="G24" s="26">
        <v>7.1</v>
      </c>
      <c r="R24" t="s">
        <v>16</v>
      </c>
      <c r="S24" s="8">
        <f>SQRT((1-S20^2)/S23)</f>
        <v>0.11914795274168466</v>
      </c>
      <c r="U24" t="e">
        <f ca="1">FTEXT(S24)</f>
        <v>#NAME?</v>
      </c>
      <c r="AA24" t="e">
        <f ca="1">FTEXT(Y24)</f>
        <v>#NAME?</v>
      </c>
    </row>
    <row r="25" spans="1:27" ht="16" x14ac:dyDescent="0.4">
      <c r="A25" s="24" t="s">
        <v>111</v>
      </c>
      <c r="B25" s="25">
        <v>14.4</v>
      </c>
      <c r="C25" s="26">
        <v>7.4</v>
      </c>
      <c r="D25" s="23"/>
      <c r="E25" s="24" t="s">
        <v>112</v>
      </c>
      <c r="F25" s="25">
        <v>11.3</v>
      </c>
      <c r="G25" s="26">
        <v>4.7</v>
      </c>
      <c r="R25" t="s">
        <v>18</v>
      </c>
      <c r="S25" s="8">
        <f>(S20-S21)/S24</f>
        <v>4.7372158307902064</v>
      </c>
      <c r="U25" t="e">
        <f ca="1">FTEXT(S25)</f>
        <v>#NAME?</v>
      </c>
      <c r="X25" s="7" t="s">
        <v>12</v>
      </c>
      <c r="Y25" s="6">
        <f>S22</f>
        <v>50</v>
      </c>
      <c r="AA25" t="e">
        <f ca="1">FTEXT(Y25)</f>
        <v>#NAME?</v>
      </c>
    </row>
    <row r="26" spans="1:27" ht="16.5" x14ac:dyDescent="0.45">
      <c r="A26" s="24" t="s">
        <v>113</v>
      </c>
      <c r="B26" s="25">
        <v>9.6</v>
      </c>
      <c r="C26" s="26">
        <v>5.2</v>
      </c>
      <c r="D26" s="23"/>
      <c r="E26" s="24" t="s">
        <v>114</v>
      </c>
      <c r="F26" s="28">
        <v>17</v>
      </c>
      <c r="G26" s="26">
        <v>7.4</v>
      </c>
      <c r="R26" t="s">
        <v>20</v>
      </c>
      <c r="S26" s="8">
        <v>0.05</v>
      </c>
      <c r="X26" s="7" t="s">
        <v>13</v>
      </c>
      <c r="Y26" s="8">
        <f>1/SQRT(Y25-3)</f>
        <v>0.14586499149789456</v>
      </c>
      <c r="AA26" t="e">
        <f ca="1">FTEXT(Y26)</f>
        <v>#NAME?</v>
      </c>
    </row>
    <row r="27" spans="1:27" ht="16" x14ac:dyDescent="0.4">
      <c r="A27" s="24" t="s">
        <v>115</v>
      </c>
      <c r="B27" s="25">
        <v>21.2</v>
      </c>
      <c r="C27" s="26">
        <v>10.6</v>
      </c>
      <c r="D27" s="23"/>
      <c r="E27" s="24" t="s">
        <v>116</v>
      </c>
      <c r="F27" s="25">
        <v>10.4</v>
      </c>
      <c r="G27" s="26">
        <v>6.4</v>
      </c>
      <c r="R27" t="s">
        <v>22</v>
      </c>
      <c r="S27" s="8">
        <f>TINV(2*S26,S23)</f>
        <v>1.6772241961243386</v>
      </c>
      <c r="U27" s="12" t="s">
        <v>117</v>
      </c>
      <c r="X27" t="s">
        <v>24</v>
      </c>
      <c r="Y27" s="8">
        <f>(Y22-Y23)/Y26</f>
        <v>4.3828886559727529</v>
      </c>
      <c r="AA27" t="e">
        <f ca="1">FTEXT(Y27)</f>
        <v>#NAME?</v>
      </c>
    </row>
    <row r="28" spans="1:27" ht="16" x14ac:dyDescent="0.4">
      <c r="A28" s="24" t="s">
        <v>118</v>
      </c>
      <c r="B28" s="25">
        <v>13.4</v>
      </c>
      <c r="C28" s="26">
        <v>7.4</v>
      </c>
      <c r="D28" s="23"/>
      <c r="E28" s="29" t="s">
        <v>119</v>
      </c>
      <c r="F28" s="30">
        <v>9.4</v>
      </c>
      <c r="G28" s="31">
        <v>7</v>
      </c>
      <c r="R28" t="s">
        <v>26</v>
      </c>
      <c r="S28" s="8">
        <f>TDIST(S25,S23,1)</f>
        <v>9.803663643478285E-6</v>
      </c>
      <c r="U28" s="12" t="s">
        <v>120</v>
      </c>
      <c r="X28" t="s">
        <v>20</v>
      </c>
      <c r="Y28" s="8">
        <v>0.05</v>
      </c>
    </row>
    <row r="29" spans="1:27" ht="16" x14ac:dyDescent="0.4">
      <c r="A29" s="24" t="s">
        <v>65</v>
      </c>
      <c r="B29" s="25">
        <v>14.8</v>
      </c>
      <c r="C29" s="26">
        <v>5.8</v>
      </c>
      <c r="D29" s="23"/>
      <c r="E29" s="23"/>
      <c r="F29" s="23"/>
      <c r="G29" s="23"/>
      <c r="R29" t="s">
        <v>28</v>
      </c>
      <c r="S29" s="13" t="str">
        <f>IF(S28&lt;S26,"yes","no")</f>
        <v>yes</v>
      </c>
      <c r="U29" t="e">
        <f ca="1">FTEXT(S29)</f>
        <v>#NAME?</v>
      </c>
      <c r="X29" t="s">
        <v>11</v>
      </c>
      <c r="Y29" s="8">
        <f>NORMSINV(1-Y28)</f>
        <v>1.6448536269514715</v>
      </c>
      <c r="AA29" s="12" t="s">
        <v>121</v>
      </c>
    </row>
    <row r="30" spans="1:27" ht="16" x14ac:dyDescent="0.4">
      <c r="A30" s="24" t="s">
        <v>67</v>
      </c>
      <c r="B30" s="25">
        <v>10.8</v>
      </c>
      <c r="C30" s="26">
        <v>5.6</v>
      </c>
      <c r="D30" s="23"/>
      <c r="E30" s="23"/>
      <c r="F30" s="23"/>
      <c r="G30" s="23"/>
      <c r="X30" t="s">
        <v>26</v>
      </c>
      <c r="Y30" s="8">
        <f>1-NORMSDIST(Y27)</f>
        <v>5.8557988426022334E-6</v>
      </c>
      <c r="AA30" s="12" t="s">
        <v>122</v>
      </c>
    </row>
    <row r="31" spans="1:27" ht="16" x14ac:dyDescent="0.4">
      <c r="A31" s="24" t="s">
        <v>69</v>
      </c>
      <c r="B31" s="25">
        <v>11.3</v>
      </c>
      <c r="C31" s="26">
        <v>6.4</v>
      </c>
      <c r="D31" s="23"/>
      <c r="E31" s="24" t="s">
        <v>123</v>
      </c>
      <c r="F31" s="23"/>
      <c r="G31" s="23"/>
      <c r="X31" t="s">
        <v>28</v>
      </c>
      <c r="Y31" s="13" t="str">
        <f>IF(Y30&lt;Y28,"yes","no")</f>
        <v>yes</v>
      </c>
      <c r="Z31" s="14"/>
      <c r="AA31" t="e">
        <f ca="1">FTEXT(Y31)</f>
        <v>#NAME?</v>
      </c>
    </row>
    <row r="32" spans="1:27" ht="16" x14ac:dyDescent="0.4">
      <c r="A32" s="24" t="s">
        <v>71</v>
      </c>
      <c r="B32" s="25">
        <v>7.6</v>
      </c>
      <c r="C32" s="26">
        <v>6.1</v>
      </c>
      <c r="D32" s="23"/>
      <c r="E32" s="24" t="s">
        <v>124</v>
      </c>
      <c r="F32" s="23"/>
      <c r="G32" s="23"/>
    </row>
    <row r="33" spans="1:7" ht="16" x14ac:dyDescent="0.4">
      <c r="A33" s="24" t="s">
        <v>73</v>
      </c>
      <c r="B33" s="25">
        <v>8.6999999999999993</v>
      </c>
      <c r="C33" s="26">
        <v>5.5</v>
      </c>
      <c r="D33" s="23"/>
      <c r="E33" s="23"/>
      <c r="F33" s="23"/>
      <c r="G33" s="23"/>
    </row>
    <row r="34" spans="1:7" ht="16" x14ac:dyDescent="0.4">
      <c r="A34" s="24" t="s">
        <v>75</v>
      </c>
      <c r="B34" s="25">
        <v>17.100000000000001</v>
      </c>
      <c r="C34" s="26">
        <v>5.8</v>
      </c>
      <c r="D34" s="23"/>
      <c r="E34" s="23"/>
      <c r="F34" s="23"/>
      <c r="G34" s="23"/>
    </row>
    <row r="35" spans="1:7" ht="16" x14ac:dyDescent="0.4">
      <c r="A35" s="24" t="s">
        <v>77</v>
      </c>
      <c r="B35" s="25">
        <v>13.6</v>
      </c>
      <c r="C35" s="26">
        <v>5.6</v>
      </c>
      <c r="D35" s="23"/>
      <c r="E35" s="23"/>
      <c r="F35" s="23"/>
      <c r="G35" s="23"/>
    </row>
    <row r="36" spans="1:7" ht="16" x14ac:dyDescent="0.4">
      <c r="A36" s="24" t="s">
        <v>79</v>
      </c>
      <c r="B36" s="25">
        <v>14.6</v>
      </c>
      <c r="C36" s="26">
        <v>8.1</v>
      </c>
      <c r="D36" s="23"/>
      <c r="E36" s="23"/>
      <c r="F36" s="23"/>
      <c r="G36" s="23"/>
    </row>
    <row r="37" spans="1:7" ht="16" x14ac:dyDescent="0.4">
      <c r="A37" s="24" t="s">
        <v>81</v>
      </c>
      <c r="B37" s="28">
        <v>12</v>
      </c>
      <c r="C37" s="26">
        <v>5.8</v>
      </c>
      <c r="D37" s="23"/>
      <c r="E37" s="23"/>
      <c r="F37" s="23"/>
      <c r="G37" s="23"/>
    </row>
    <row r="38" spans="1:7" ht="16" x14ac:dyDescent="0.4">
      <c r="A38" s="24" t="s">
        <v>84</v>
      </c>
      <c r="B38" s="25">
        <v>13.4</v>
      </c>
      <c r="C38" s="26">
        <v>7.8</v>
      </c>
      <c r="D38" s="23"/>
      <c r="E38" s="23"/>
      <c r="F38" s="23"/>
      <c r="G38" s="23"/>
    </row>
    <row r="39" spans="1:7" ht="16" x14ac:dyDescent="0.4">
      <c r="A39" s="24" t="s">
        <v>87</v>
      </c>
      <c r="B39" s="25">
        <v>15.9</v>
      </c>
      <c r="C39" s="26">
        <v>8</v>
      </c>
      <c r="D39" s="23"/>
      <c r="E39" s="23"/>
      <c r="F39" s="23"/>
      <c r="G39" s="23"/>
    </row>
    <row r="40" spans="1:7" ht="16" x14ac:dyDescent="0.4">
      <c r="A40" s="24" t="s">
        <v>90</v>
      </c>
      <c r="B40" s="25">
        <v>13.6</v>
      </c>
      <c r="C40" s="26">
        <v>5.5</v>
      </c>
      <c r="D40" s="23"/>
      <c r="E40" s="23"/>
      <c r="F40" s="23"/>
      <c r="G40" s="23"/>
    </row>
    <row r="41" spans="1:7" ht="16" x14ac:dyDescent="0.4">
      <c r="A41" s="24" t="s">
        <v>93</v>
      </c>
      <c r="B41" s="25">
        <v>12.1</v>
      </c>
      <c r="C41" s="26">
        <v>7.6</v>
      </c>
      <c r="D41" s="23"/>
      <c r="E41" s="23"/>
      <c r="F41" s="23"/>
      <c r="G41" s="23"/>
    </row>
    <row r="42" spans="1:7" ht="16" x14ac:dyDescent="0.4">
      <c r="A42" s="24" t="s">
        <v>95</v>
      </c>
      <c r="B42" s="25">
        <v>11.7</v>
      </c>
      <c r="C42" s="26">
        <v>6.1</v>
      </c>
      <c r="D42" s="23"/>
      <c r="E42" s="23"/>
      <c r="F42" s="23"/>
      <c r="G42" s="23"/>
    </row>
    <row r="43" spans="1:7" ht="16" x14ac:dyDescent="0.4">
      <c r="A43" s="24" t="s">
        <v>97</v>
      </c>
      <c r="B43" s="25">
        <v>15.7</v>
      </c>
      <c r="C43" s="26">
        <v>8.4</v>
      </c>
      <c r="D43" s="23"/>
      <c r="E43" s="23"/>
      <c r="F43" s="23"/>
      <c r="G43" s="23"/>
    </row>
    <row r="44" spans="1:7" ht="16" x14ac:dyDescent="0.4">
      <c r="A44" s="24" t="s">
        <v>100</v>
      </c>
      <c r="B44" s="25">
        <v>12.5</v>
      </c>
      <c r="C44" s="26">
        <v>6.9</v>
      </c>
      <c r="D44" s="23"/>
      <c r="E44" s="23"/>
      <c r="F44" s="23"/>
      <c r="G44" s="23"/>
    </row>
    <row r="45" spans="1:7" ht="16" x14ac:dyDescent="0.4">
      <c r="A45" s="24" t="s">
        <v>102</v>
      </c>
      <c r="B45" s="25">
        <v>15.5</v>
      </c>
      <c r="C45" s="26">
        <v>8.6999999999999993</v>
      </c>
      <c r="D45" s="23"/>
      <c r="E45" s="23"/>
      <c r="F45" s="23"/>
      <c r="G45" s="23"/>
    </row>
    <row r="46" spans="1:7" ht="16" x14ac:dyDescent="0.4">
      <c r="A46" s="24" t="s">
        <v>104</v>
      </c>
      <c r="B46" s="25">
        <v>15.8</v>
      </c>
      <c r="C46" s="26">
        <v>6.2</v>
      </c>
      <c r="D46" s="23"/>
      <c r="E46" s="23"/>
      <c r="F46" s="23"/>
      <c r="G46" s="23"/>
    </row>
    <row r="47" spans="1:7" ht="16" x14ac:dyDescent="0.4">
      <c r="A47" s="24" t="s">
        <v>106</v>
      </c>
      <c r="B47" s="25">
        <v>9.6</v>
      </c>
      <c r="C47" s="26">
        <v>5.0999999999999996</v>
      </c>
      <c r="D47" s="23"/>
      <c r="E47" s="23"/>
      <c r="F47" s="23"/>
      <c r="G47" s="23"/>
    </row>
    <row r="48" spans="1:7" ht="16" x14ac:dyDescent="0.4">
      <c r="A48" s="24" t="s">
        <v>108</v>
      </c>
      <c r="B48" s="25">
        <v>10.6</v>
      </c>
      <c r="C48" s="26">
        <v>5.5</v>
      </c>
      <c r="D48" s="23"/>
      <c r="E48" s="23"/>
      <c r="F48" s="23"/>
      <c r="G48" s="23"/>
    </row>
    <row r="49" spans="1:7" ht="16" x14ac:dyDescent="0.4">
      <c r="A49" s="24" t="s">
        <v>110</v>
      </c>
      <c r="B49" s="25">
        <v>10.199999999999999</v>
      </c>
      <c r="C49" s="26">
        <v>7.1</v>
      </c>
      <c r="D49" s="23"/>
      <c r="E49" s="23"/>
      <c r="F49" s="23"/>
      <c r="G49" s="23"/>
    </row>
    <row r="50" spans="1:7" ht="16" x14ac:dyDescent="0.4">
      <c r="A50" s="24" t="s">
        <v>112</v>
      </c>
      <c r="B50" s="25">
        <v>11.3</v>
      </c>
      <c r="C50" s="26">
        <v>4.7</v>
      </c>
      <c r="D50" s="23"/>
      <c r="E50" s="23"/>
      <c r="F50" s="23"/>
      <c r="G50" s="23"/>
    </row>
    <row r="51" spans="1:7" ht="16" x14ac:dyDescent="0.4">
      <c r="A51" s="24" t="s">
        <v>114</v>
      </c>
      <c r="B51" s="28">
        <v>17</v>
      </c>
      <c r="C51" s="26">
        <v>7.4</v>
      </c>
      <c r="D51" s="23"/>
      <c r="E51" s="23"/>
      <c r="F51" s="23"/>
      <c r="G51" s="23"/>
    </row>
    <row r="52" spans="1:7" ht="16" x14ac:dyDescent="0.4">
      <c r="A52" s="24" t="s">
        <v>116</v>
      </c>
      <c r="B52" s="25">
        <v>10.4</v>
      </c>
      <c r="C52" s="26">
        <v>6.4</v>
      </c>
      <c r="D52" s="23"/>
      <c r="E52" s="23"/>
      <c r="F52" s="23"/>
      <c r="G52" s="23"/>
    </row>
    <row r="53" spans="1:7" ht="16" x14ac:dyDescent="0.4">
      <c r="A53" s="29" t="s">
        <v>119</v>
      </c>
      <c r="B53" s="30">
        <v>9.4</v>
      </c>
      <c r="C53" s="31">
        <v>7</v>
      </c>
      <c r="D53" s="23"/>
      <c r="E53" s="23"/>
      <c r="F53" s="23"/>
      <c r="G53" s="23"/>
    </row>
    <row r="54" spans="1:7" ht="16" x14ac:dyDescent="0.4">
      <c r="A54" s="23"/>
      <c r="B54" s="23"/>
      <c r="C54" s="23"/>
      <c r="D54" s="23"/>
      <c r="E54" s="23"/>
      <c r="F54" s="23"/>
      <c r="G54" s="23"/>
    </row>
    <row r="55" spans="1:7" ht="16" x14ac:dyDescent="0.4">
      <c r="A55" s="23"/>
      <c r="B55" s="23"/>
      <c r="C55" s="23"/>
      <c r="D55" s="23"/>
      <c r="E55" s="23"/>
      <c r="F55" s="23"/>
      <c r="G55" s="2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88236-7A62-489B-B8FB-16F80AFDE2F9}">
  <sheetPr codeName="Sheet354"/>
  <dimension ref="A1:D27"/>
  <sheetViews>
    <sheetView workbookViewId="0"/>
  </sheetViews>
  <sheetFormatPr defaultRowHeight="14.5" x14ac:dyDescent="0.35"/>
  <cols>
    <col min="3" max="3" width="3.1796875" customWidth="1"/>
    <col min="4" max="4" width="25.26953125" customWidth="1"/>
  </cols>
  <sheetData>
    <row r="1" spans="1:4" x14ac:dyDescent="0.35">
      <c r="A1" s="1" t="s">
        <v>0</v>
      </c>
    </row>
    <row r="2" spans="1:4" x14ac:dyDescent="0.35">
      <c r="A2" s="1"/>
    </row>
    <row r="3" spans="1:4" x14ac:dyDescent="0.35">
      <c r="A3" s="1"/>
      <c r="B3" t="s">
        <v>125</v>
      </c>
    </row>
    <row r="5" spans="1:4" x14ac:dyDescent="0.35">
      <c r="A5" t="s">
        <v>8</v>
      </c>
      <c r="B5" s="6">
        <v>0.19700000000000001</v>
      </c>
    </row>
    <row r="6" spans="1:4" x14ac:dyDescent="0.35">
      <c r="A6" s="10" t="s">
        <v>10</v>
      </c>
      <c r="B6" s="8">
        <v>0</v>
      </c>
    </row>
    <row r="7" spans="1:4" x14ac:dyDescent="0.35">
      <c r="A7" t="s">
        <v>12</v>
      </c>
      <c r="B7" s="8">
        <v>100</v>
      </c>
    </row>
    <row r="8" spans="1:4" x14ac:dyDescent="0.35">
      <c r="A8" t="s">
        <v>14</v>
      </c>
      <c r="B8" s="8">
        <f>B7-2</f>
        <v>98</v>
      </c>
      <c r="D8" t="e">
        <f ca="1">FTEXT(B8)</f>
        <v>#NAME?</v>
      </c>
    </row>
    <row r="9" spans="1:4" ht="16.5" x14ac:dyDescent="0.45">
      <c r="A9" t="s">
        <v>16</v>
      </c>
      <c r="B9" s="8">
        <f>SQRT((1-B5^2)/B8)</f>
        <v>9.9035707846066454E-2</v>
      </c>
      <c r="D9" t="e">
        <f ca="1">FTEXT(B9)</f>
        <v>#NAME?</v>
      </c>
    </row>
    <row r="10" spans="1:4" x14ac:dyDescent="0.35">
      <c r="A10" t="s">
        <v>18</v>
      </c>
      <c r="B10" s="8">
        <f>B5/B9</f>
        <v>1.9891815213377559</v>
      </c>
      <c r="D10" t="e">
        <f ca="1">FTEXT(B10)</f>
        <v>#NAME?</v>
      </c>
    </row>
    <row r="11" spans="1:4" x14ac:dyDescent="0.35">
      <c r="A11" t="s">
        <v>20</v>
      </c>
      <c r="B11" s="8">
        <v>0.05</v>
      </c>
    </row>
    <row r="12" spans="1:4" x14ac:dyDescent="0.35">
      <c r="A12" t="s">
        <v>22</v>
      </c>
      <c r="B12" s="8">
        <f>TINV(B11,B8)</f>
        <v>1.9844674545084788</v>
      </c>
      <c r="D12" s="12" t="s">
        <v>126</v>
      </c>
    </row>
    <row r="13" spans="1:4" x14ac:dyDescent="0.35">
      <c r="A13" t="s">
        <v>26</v>
      </c>
      <c r="B13" s="8">
        <f>TDIST(ABS(B10),B8,2)</f>
        <v>4.9468766956677193E-2</v>
      </c>
      <c r="D13" s="12" t="s">
        <v>127</v>
      </c>
    </row>
    <row r="14" spans="1:4" x14ac:dyDescent="0.35">
      <c r="A14" t="s">
        <v>28</v>
      </c>
      <c r="B14" s="13" t="str">
        <f>IF(B13&lt;B11,"yes","no")</f>
        <v>yes</v>
      </c>
      <c r="D14" t="e">
        <f ca="1">FTEXT(B14)</f>
        <v>#NAME?</v>
      </c>
    </row>
    <row r="16" spans="1:4" x14ac:dyDescent="0.35">
      <c r="A16" s="1"/>
      <c r="B16" t="s">
        <v>128</v>
      </c>
    </row>
    <row r="18" spans="1:4" x14ac:dyDescent="0.35">
      <c r="A18" t="s">
        <v>8</v>
      </c>
      <c r="B18" s="6">
        <v>0.19700000000000001</v>
      </c>
    </row>
    <row r="19" spans="1:4" x14ac:dyDescent="0.35">
      <c r="A19" s="10" t="s">
        <v>10</v>
      </c>
      <c r="B19" s="8">
        <v>0</v>
      </c>
    </row>
    <row r="20" spans="1:4" x14ac:dyDescent="0.35">
      <c r="A20" t="s">
        <v>12</v>
      </c>
      <c r="B20" s="8">
        <v>100</v>
      </c>
    </row>
    <row r="21" spans="1:4" x14ac:dyDescent="0.35">
      <c r="A21" t="s">
        <v>14</v>
      </c>
      <c r="B21" s="8">
        <f>B20-2</f>
        <v>98</v>
      </c>
      <c r="D21" t="e">
        <f ca="1">FTEXT(B21)</f>
        <v>#NAME?</v>
      </c>
    </row>
    <row r="22" spans="1:4" ht="16.5" x14ac:dyDescent="0.45">
      <c r="A22" t="s">
        <v>16</v>
      </c>
      <c r="B22" s="8">
        <f>SQRT((1-B18^2)/B21)</f>
        <v>9.9035707846066454E-2</v>
      </c>
      <c r="D22" t="e">
        <f ca="1">FTEXT(B22)</f>
        <v>#NAME?</v>
      </c>
    </row>
    <row r="23" spans="1:4" x14ac:dyDescent="0.35">
      <c r="A23" t="s">
        <v>18</v>
      </c>
      <c r="B23" s="8">
        <f>B18/B22</f>
        <v>1.9891815213377559</v>
      </c>
      <c r="D23" t="e">
        <f ca="1">FTEXT(B23)</f>
        <v>#NAME?</v>
      </c>
    </row>
    <row r="24" spans="1:4" x14ac:dyDescent="0.35">
      <c r="A24" t="s">
        <v>20</v>
      </c>
      <c r="B24" s="8">
        <v>0.05</v>
      </c>
    </row>
    <row r="25" spans="1:4" x14ac:dyDescent="0.35">
      <c r="A25" t="s">
        <v>22</v>
      </c>
      <c r="B25" s="8">
        <f>TINV(B24*2,B21)</f>
        <v>1.6605512170657302</v>
      </c>
      <c r="D25" s="12" t="s">
        <v>129</v>
      </c>
    </row>
    <row r="26" spans="1:4" x14ac:dyDescent="0.35">
      <c r="A26" t="s">
        <v>26</v>
      </c>
      <c r="B26" s="8">
        <f>TDIST(ABS(B23),B21,1)</f>
        <v>2.4734383478338597E-2</v>
      </c>
      <c r="D26" s="12" t="s">
        <v>130</v>
      </c>
    </row>
    <row r="27" spans="1:4" x14ac:dyDescent="0.35">
      <c r="A27" t="s">
        <v>28</v>
      </c>
      <c r="B27" s="13" t="str">
        <f>IF(B26&lt;B24,"yes","no")</f>
        <v>yes</v>
      </c>
      <c r="D27" t="e">
        <f ca="1">FTEXT(B27)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</vt:lpstr>
      <vt:lpstr>Corr 1</vt:lpstr>
      <vt:lpstr>Corr 1a</vt:lpstr>
      <vt:lpstr>Corr 2</vt:lpstr>
      <vt:lpstr>Corr 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2025-06-05T08:10:38Z</dcterms:created>
  <dcterms:modified xsi:type="dcterms:W3CDTF">2025-06-05T08:16:11Z</dcterms:modified>
</cp:coreProperties>
</file>