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CEE425A2-AA53-4420-AEE7-8143CCC1BACF}" xr6:coauthVersionLast="47" xr6:coauthVersionMax="47" xr10:uidLastSave="{6D775F7C-E19F-48A2-8C51-BAE0065388BB}"/>
  <bookViews>
    <workbookView xWindow="-110" yWindow="-110" windowWidth="19420" windowHeight="10300" xr2:uid="{62E8B7A6-513F-4F46-9820-780801A47140}"/>
  </bookViews>
  <sheets>
    <sheet name="Title" sheetId="4" r:id="rId1"/>
    <sheet name="Corr 1" sheetId="1" r:id="rId2"/>
    <sheet name="Corr 1a" sheetId="2" r:id="rId3"/>
    <sheet name="Corr 2" sheetId="3" r:id="rId4"/>
  </sheets>
  <externalReferences>
    <externalReference r:id="rId5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 a="1"/>
  <c r="H19" i="3" s="1"/>
  <c r="O17" i="3"/>
  <c r="N17" i="3"/>
  <c r="O16" i="3"/>
  <c r="N15" i="3"/>
  <c r="O14" i="3"/>
  <c r="N14" i="3"/>
  <c r="N14" i="3" a="1"/>
  <c r="N16" i="3" s="1"/>
  <c r="H14" i="3"/>
  <c r="H13" i="3"/>
  <c r="H11" i="3"/>
  <c r="N20" i="2"/>
  <c r="M20" i="2"/>
  <c r="N19" i="2"/>
  <c r="M18" i="2"/>
  <c r="N17" i="2"/>
  <c r="M17" i="2"/>
  <c r="M17" i="2" a="1"/>
  <c r="M19" i="2" s="1"/>
  <c r="G20" i="2"/>
  <c r="H19" i="2"/>
  <c r="G19" i="2"/>
  <c r="H18" i="2"/>
  <c r="G18" i="2"/>
  <c r="G17" i="2" a="1"/>
  <c r="H17" i="2" s="1"/>
  <c r="N16" i="2"/>
  <c r="K19" i="2"/>
  <c r="J19" i="2"/>
  <c r="K18" i="2"/>
  <c r="J18" i="2"/>
  <c r="K17" i="2"/>
  <c r="J17" i="2"/>
  <c r="K16" i="2"/>
  <c r="J16" i="2"/>
  <c r="J16" i="2" a="1"/>
  <c r="H16" i="2"/>
  <c r="D16" i="2" a="1"/>
  <c r="D19" i="2" s="1"/>
  <c r="K7" i="2"/>
  <c r="E7" i="2"/>
  <c r="K6" i="2"/>
  <c r="E6" i="2"/>
  <c r="L33" i="1"/>
  <c r="G31" i="1"/>
  <c r="L29" i="1"/>
  <c r="L28" i="1"/>
  <c r="L27" i="1"/>
  <c r="G27" i="1"/>
  <c r="L26" i="1"/>
  <c r="G26" i="1"/>
  <c r="L25" i="1"/>
  <c r="G25" i="1"/>
  <c r="L24" i="1"/>
  <c r="G24" i="1"/>
  <c r="AI23" i="1"/>
  <c r="AG26" i="1"/>
  <c r="AF25" i="1"/>
  <c r="AG24" i="1"/>
  <c r="AF24" i="1"/>
  <c r="AG23" i="1"/>
  <c r="AF23" i="1"/>
  <c r="AF23" i="1" a="1"/>
  <c r="AF26" i="1" s="1"/>
  <c r="L23" i="1"/>
  <c r="L22" i="1"/>
  <c r="G22" i="1"/>
  <c r="AI17" i="1"/>
  <c r="AG19" i="1"/>
  <c r="AF19" i="1"/>
  <c r="AG18" i="1"/>
  <c r="AF18" i="1"/>
  <c r="AG17" i="1"/>
  <c r="AF17" i="1" a="1"/>
  <c r="AF17" i="1" s="1"/>
  <c r="G17" i="1"/>
  <c r="L16" i="1"/>
  <c r="G16" i="1"/>
  <c r="AD15" i="1"/>
  <c r="AB15" i="1"/>
  <c r="AD14" i="1"/>
  <c r="AB14" i="1"/>
  <c r="G14" i="1"/>
  <c r="AD12" i="1"/>
  <c r="AB12" i="1"/>
  <c r="Q12" i="1"/>
  <c r="L12" i="1"/>
  <c r="AI11" i="1"/>
  <c r="AF11" i="1" a="1"/>
  <c r="AG14" i="1" s="1"/>
  <c r="AD11" i="1"/>
  <c r="AB11" i="1"/>
  <c r="Q11" i="1"/>
  <c r="L11" i="1"/>
  <c r="Q10" i="1"/>
  <c r="L10" i="1"/>
  <c r="G10" i="1"/>
  <c r="AD9" i="1"/>
  <c r="AB9" i="1"/>
  <c r="Q9" i="1"/>
  <c r="L9" i="1"/>
  <c r="G9" i="1"/>
  <c r="AD8" i="1"/>
  <c r="AB8" i="1"/>
  <c r="Q8" i="1"/>
  <c r="L8" i="1"/>
  <c r="G8" i="1"/>
  <c r="Q7" i="1"/>
  <c r="L7" i="1"/>
  <c r="G7" i="1"/>
  <c r="AD6" i="1"/>
  <c r="AB6" i="1"/>
  <c r="Q6" i="1"/>
  <c r="L6" i="1"/>
  <c r="AI5" i="1"/>
  <c r="AF5" i="1" a="1"/>
  <c r="AG8" i="1" s="1"/>
  <c r="AD5" i="1"/>
  <c r="AB5" i="1"/>
  <c r="Q5" i="1"/>
  <c r="L5" i="1"/>
  <c r="G5" i="1"/>
  <c r="B19" i="3"/>
  <c r="B14" i="3"/>
  <c r="O12" i="3"/>
  <c r="E11" i="3"/>
  <c r="E14" i="3" s="1"/>
  <c r="B7" i="3"/>
  <c r="E4" i="3"/>
  <c r="E3" i="3"/>
  <c r="K5" i="2"/>
  <c r="N15" i="2" s="1"/>
  <c r="E5" i="2"/>
  <c r="J74" i="1"/>
  <c r="J70" i="1"/>
  <c r="G68" i="1"/>
  <c r="I68" i="1" s="1"/>
  <c r="I67" i="1"/>
  <c r="H64" i="1"/>
  <c r="J78" i="1" s="1"/>
  <c r="H63" i="1"/>
  <c r="H62" i="1"/>
  <c r="I62" i="1" s="1"/>
  <c r="J50" i="1"/>
  <c r="G44" i="1"/>
  <c r="H40" i="1"/>
  <c r="H39" i="1"/>
  <c r="J47" i="1" s="1"/>
  <c r="H38" i="1"/>
  <c r="I38" i="1" s="1"/>
  <c r="I43" i="1" s="1"/>
  <c r="J31" i="1"/>
  <c r="E29" i="1"/>
  <c r="J28" i="1"/>
  <c r="J27" i="1"/>
  <c r="J25" i="1"/>
  <c r="E25" i="1"/>
  <c r="E24" i="1"/>
  <c r="J23" i="1"/>
  <c r="E22" i="1"/>
  <c r="E26" i="1" s="1"/>
  <c r="J14" i="1"/>
  <c r="O6" i="1" s="1"/>
  <c r="E7" i="1"/>
  <c r="J6" i="1"/>
  <c r="J8" i="1" s="1"/>
  <c r="E5" i="1"/>
  <c r="AG11" i="1" l="1"/>
  <c r="D16" i="2"/>
  <c r="E16" i="2"/>
  <c r="AG5" i="1"/>
  <c r="AG12" i="1"/>
  <c r="D17" i="2"/>
  <c r="G16" i="3"/>
  <c r="AF6" i="1"/>
  <c r="AF13" i="1"/>
  <c r="AF20" i="1"/>
  <c r="AG25" i="1"/>
  <c r="E17" i="2"/>
  <c r="H20" i="2"/>
  <c r="H16" i="3"/>
  <c r="AF5" i="1"/>
  <c r="AG6" i="1"/>
  <c r="AG13" i="1"/>
  <c r="AG20" i="1"/>
  <c r="D18" i="2"/>
  <c r="G17" i="3"/>
  <c r="H17" i="3"/>
  <c r="AG7" i="1"/>
  <c r="AF8" i="1"/>
  <c r="E19" i="2"/>
  <c r="H18" i="3"/>
  <c r="AF11" i="1"/>
  <c r="AF12" i="1"/>
  <c r="AF7" i="1"/>
  <c r="E18" i="2"/>
  <c r="G18" i="3"/>
  <c r="G17" i="2"/>
  <c r="N18" i="2"/>
  <c r="O15" i="3"/>
  <c r="G19" i="3"/>
  <c r="AF14" i="1"/>
  <c r="J10" i="1"/>
  <c r="J11" i="1" s="1"/>
  <c r="O7" i="1" s="1"/>
  <c r="E8" i="1"/>
  <c r="E12" i="1" s="1"/>
  <c r="E12" i="3"/>
  <c r="E13" i="3" s="1"/>
  <c r="E15" i="3" s="1"/>
  <c r="B13" i="3"/>
  <c r="B15" i="3" s="1"/>
  <c r="E14" i="2"/>
  <c r="H15" i="2"/>
  <c r="J51" i="1"/>
  <c r="J5" i="1"/>
  <c r="J7" i="1" s="1"/>
  <c r="J43" i="1"/>
  <c r="J81" i="1"/>
  <c r="J77" i="1"/>
  <c r="J73" i="1"/>
  <c r="J69" i="1"/>
  <c r="J80" i="1"/>
  <c r="J76" i="1"/>
  <c r="J72" i="1"/>
  <c r="J68" i="1"/>
  <c r="J79" i="1"/>
  <c r="J71" i="1"/>
  <c r="J67" i="1"/>
  <c r="J75" i="1"/>
  <c r="B20" i="3"/>
  <c r="E20" i="3" s="1"/>
  <c r="I44" i="1"/>
  <c r="J54" i="1"/>
  <c r="J46" i="1"/>
  <c r="B21" i="3"/>
  <c r="E21" i="3" s="1"/>
  <c r="J57" i="1"/>
  <c r="J53" i="1"/>
  <c r="J49" i="1"/>
  <c r="J45" i="1"/>
  <c r="J56" i="1"/>
  <c r="J52" i="1"/>
  <c r="J48" i="1"/>
  <c r="J44" i="1"/>
  <c r="J55" i="1"/>
  <c r="E27" i="1"/>
  <c r="E30" i="1" s="1"/>
  <c r="E31" i="1" s="1"/>
  <c r="J22" i="1"/>
  <c r="J24" i="1" s="1"/>
  <c r="J29" i="1" s="1"/>
  <c r="J32" i="1" s="1"/>
  <c r="J33" i="1" s="1"/>
  <c r="G45" i="1"/>
  <c r="G69" i="1"/>
  <c r="K14" i="2"/>
  <c r="K15" i="2" l="1"/>
  <c r="I69" i="1"/>
  <c r="G70" i="1"/>
  <c r="I45" i="1"/>
  <c r="G46" i="1"/>
  <c r="J12" i="1"/>
  <c r="J15" i="1" s="1"/>
  <c r="J16" i="1" s="1"/>
  <c r="O5" i="1"/>
  <c r="E15" i="2"/>
  <c r="E9" i="1"/>
  <c r="E10" i="1" s="1"/>
  <c r="E13" i="1" s="1"/>
  <c r="E14" i="1" s="1"/>
  <c r="O9" i="1" l="1"/>
  <c r="O11" i="1" s="1"/>
  <c r="O10" i="1"/>
  <c r="O12" i="1" s="1"/>
  <c r="E17" i="1"/>
  <c r="I46" i="1"/>
  <c r="G47" i="1"/>
  <c r="I70" i="1"/>
  <c r="G71" i="1"/>
  <c r="E16" i="1"/>
  <c r="G72" i="1" l="1"/>
  <c r="I71" i="1"/>
  <c r="G48" i="1"/>
  <c r="I47" i="1"/>
  <c r="I48" i="1" l="1"/>
  <c r="G49" i="1"/>
  <c r="I72" i="1"/>
  <c r="G73" i="1"/>
  <c r="I73" i="1" l="1"/>
  <c r="G74" i="1"/>
  <c r="I49" i="1"/>
  <c r="G50" i="1"/>
  <c r="I50" i="1" l="1"/>
  <c r="G51" i="1"/>
  <c r="I74" i="1"/>
  <c r="G75" i="1"/>
  <c r="G76" i="1" l="1"/>
  <c r="I75" i="1"/>
  <c r="G52" i="1"/>
  <c r="I51" i="1"/>
  <c r="I52" i="1" l="1"/>
  <c r="G53" i="1"/>
  <c r="I76" i="1"/>
  <c r="G77" i="1"/>
  <c r="I77" i="1" l="1"/>
  <c r="G78" i="1"/>
  <c r="I53" i="1"/>
  <c r="G54" i="1"/>
  <c r="I54" i="1" l="1"/>
  <c r="G55" i="1"/>
  <c r="I78" i="1"/>
  <c r="G79" i="1"/>
  <c r="G80" i="1" l="1"/>
  <c r="I79" i="1"/>
  <c r="G56" i="1"/>
  <c r="I55" i="1"/>
  <c r="I56" i="1" l="1"/>
  <c r="G57" i="1"/>
  <c r="I57" i="1" s="1"/>
  <c r="I80" i="1"/>
  <c r="G81" i="1"/>
  <c r="I81" i="1" s="1"/>
</calcChain>
</file>

<file path=xl/sharedStrings.xml><?xml version="1.0" encoding="utf-8"?>
<sst xmlns="http://schemas.openxmlformats.org/spreadsheetml/2006/main" count="155" uniqueCount="72">
  <si>
    <t>Correlation: One Sample Hypothesis Testing</t>
  </si>
  <si>
    <t># Cig</t>
  </si>
  <si>
    <t>Life Exp</t>
  </si>
  <si>
    <t>t test (two-tail)</t>
  </si>
  <si>
    <t>normal test (two-tail)</t>
  </si>
  <si>
    <t>confidence interval</t>
  </si>
  <si>
    <t>Real Statistics functions</t>
  </si>
  <si>
    <t>Real Statistics array functions</t>
  </si>
  <si>
    <t>r</t>
  </si>
  <si>
    <t>r'</t>
  </si>
  <si>
    <t>ρ</t>
  </si>
  <si>
    <t>z-crit</t>
  </si>
  <si>
    <t>n</t>
  </si>
  <si>
    <r>
      <t>s</t>
    </r>
    <r>
      <rPr>
        <vertAlign val="subscript"/>
        <sz val="11"/>
        <color theme="1"/>
        <rFont val="Aptos Narrow"/>
        <family val="2"/>
        <scheme val="minor"/>
      </rPr>
      <t>r'</t>
    </r>
  </si>
  <si>
    <t>df</t>
  </si>
  <si>
    <t>ρ'</t>
  </si>
  <si>
    <r>
      <t>s</t>
    </r>
    <r>
      <rPr>
        <vertAlign val="subscript"/>
        <sz val="11"/>
        <color theme="1"/>
        <rFont val="Aptos Narrow"/>
        <family val="2"/>
        <scheme val="minor"/>
      </rPr>
      <t>r</t>
    </r>
  </si>
  <si>
    <t>lower ρ'</t>
  </si>
  <si>
    <t>t</t>
  </si>
  <si>
    <t>upper ρ'</t>
  </si>
  <si>
    <t>α</t>
  </si>
  <si>
    <t>lower ρ</t>
  </si>
  <si>
    <t>t-crit</t>
  </si>
  <si>
    <t>=T.INV.2T(E11,E8)</t>
  </si>
  <si>
    <t>z</t>
  </si>
  <si>
    <t>upper ρ</t>
  </si>
  <si>
    <t>p-value</t>
  </si>
  <si>
    <t>=T.DIST.2T(ABS(E10),E8)</t>
  </si>
  <si>
    <t>sig</t>
  </si>
  <si>
    <t>=NORM.S.INV(J13/2)</t>
  </si>
  <si>
    <t>=2*NORM.S.DIST(J12,TRUE)</t>
  </si>
  <si>
    <t>lower</t>
  </si>
  <si>
    <t>upper</t>
  </si>
  <si>
    <t>t test (one-tail)</t>
  </si>
  <si>
    <t>normal test (one-tail)</t>
  </si>
  <si>
    <t>=T.INV(1-E11,E8)</t>
  </si>
  <si>
    <t>=T.DIST.RT(ABS(E10),E8)</t>
  </si>
  <si>
    <t>=NORM.S.INV(J13)</t>
  </si>
  <si>
    <t>=NORM.S.DIST(J12,TRUE)</t>
  </si>
  <si>
    <t>QQ Tables</t>
  </si>
  <si>
    <t>Count</t>
  </si>
  <si>
    <t>Mean</t>
  </si>
  <si>
    <t>Std Dev</t>
  </si>
  <si>
    <t>Interval</t>
  </si>
  <si>
    <t>Data</t>
  </si>
  <si>
    <t>Std Norm</t>
  </si>
  <si>
    <t>Std Data</t>
  </si>
  <si>
    <t>Correlation: One Sample Hypothesis Testing using Real Statistics data analysis tool</t>
  </si>
  <si>
    <t>Correlation Coefficients</t>
  </si>
  <si>
    <t>Pearson</t>
  </si>
  <si>
    <t>Spearman</t>
  </si>
  <si>
    <t>Kendall</t>
  </si>
  <si>
    <t>Pearson's coeff (t test)</t>
  </si>
  <si>
    <t>Pearson's coeff (Fisher)</t>
  </si>
  <si>
    <t>Alpha</t>
  </si>
  <si>
    <t>Rho</t>
  </si>
  <si>
    <t>Tails</t>
  </si>
  <si>
    <t>corr</t>
  </si>
  <si>
    <t>std err</t>
  </si>
  <si>
    <t>Hypothesis testing using Fisher transformation</t>
  </si>
  <si>
    <t>normal test</t>
  </si>
  <si>
    <t>standard normal test</t>
  </si>
  <si>
    <t>Using Real Statistics formulas</t>
  </si>
  <si>
    <t>Using Real Statistics formulas on raw data</t>
  </si>
  <si>
    <t>alpha</t>
  </si>
  <si>
    <t>Sample 1</t>
  </si>
  <si>
    <t>Sample 2</t>
  </si>
  <si>
    <t>r'-crit</t>
  </si>
  <si>
    <t>Real Statistics Using Excel</t>
  </si>
  <si>
    <t>Updated</t>
  </si>
  <si>
    <t>Copyright © 2013 - 2025 Charles Zaiontz</t>
  </si>
  <si>
    <t>Correlation testing via Fisher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</si>
</sst>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quotePrefix="1"/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Longevity v. Smoking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'Corr 1'!$B$3</c:f>
              <c:strCache>
                <c:ptCount val="1"/>
                <c:pt idx="0">
                  <c:v>Life Exp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'Corr 1'!$A$4:$A$18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'Corr 1'!$B$4:$B$18</c:f>
              <c:numCache>
                <c:formatCode>General</c:formatCode>
                <c:ptCount val="15"/>
                <c:pt idx="0">
                  <c:v>80</c:v>
                </c:pt>
                <c:pt idx="1">
                  <c:v>78</c:v>
                </c:pt>
                <c:pt idx="2">
                  <c:v>60</c:v>
                </c:pt>
                <c:pt idx="3">
                  <c:v>53</c:v>
                </c:pt>
                <c:pt idx="4">
                  <c:v>85</c:v>
                </c:pt>
                <c:pt idx="5">
                  <c:v>84</c:v>
                </c:pt>
                <c:pt idx="6">
                  <c:v>73</c:v>
                </c:pt>
                <c:pt idx="7">
                  <c:v>79</c:v>
                </c:pt>
                <c:pt idx="8">
                  <c:v>81</c:v>
                </c:pt>
                <c:pt idx="9">
                  <c:v>75</c:v>
                </c:pt>
                <c:pt idx="10">
                  <c:v>68</c:v>
                </c:pt>
                <c:pt idx="11">
                  <c:v>72</c:v>
                </c:pt>
                <c:pt idx="12">
                  <c:v>58</c:v>
                </c:pt>
                <c:pt idx="13">
                  <c:v>92</c:v>
                </c:pt>
                <c:pt idx="14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3F-4565-9773-F0A955120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005648"/>
        <c:axId val="751006432"/>
      </c:scatterChart>
      <c:valAx>
        <c:axId val="751005648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Cigarettes Smoked (per 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006432"/>
        <c:crosses val="autoZero"/>
        <c:crossBetween val="midCat"/>
      </c:valAx>
      <c:valAx>
        <c:axId val="7510064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Life Expectancy (years)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005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Cigarettes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'Corr 1'!$H$43:$H$57</c:f>
              <c:numCache>
                <c:formatCode>General</c:formatCode>
                <c:ptCount val="15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11</c:v>
                </c:pt>
                <c:pt idx="5">
                  <c:v>14</c:v>
                </c:pt>
                <c:pt idx="6">
                  <c:v>17</c:v>
                </c:pt>
                <c:pt idx="7">
                  <c:v>19</c:v>
                </c:pt>
                <c:pt idx="8">
                  <c:v>23</c:v>
                </c:pt>
                <c:pt idx="9">
                  <c:v>23</c:v>
                </c:pt>
                <c:pt idx="10">
                  <c:v>25</c:v>
                </c:pt>
                <c:pt idx="11">
                  <c:v>26</c:v>
                </c:pt>
                <c:pt idx="12">
                  <c:v>29</c:v>
                </c:pt>
                <c:pt idx="13">
                  <c:v>35</c:v>
                </c:pt>
                <c:pt idx="14">
                  <c:v>48</c:v>
                </c:pt>
              </c:numCache>
            </c:numRef>
          </c:xVal>
          <c:yVal>
            <c:numRef>
              <c:f>'Corr 1'!$I$43:$I$57</c:f>
              <c:numCache>
                <c:formatCode>General</c:formatCode>
                <c:ptCount val="15"/>
                <c:pt idx="0">
                  <c:v>-1.8339146358159142</c:v>
                </c:pt>
                <c:pt idx="1">
                  <c:v>-1.2815515655446006</c:v>
                </c:pt>
                <c:pt idx="2">
                  <c:v>-0.96742156610170071</c:v>
                </c:pt>
                <c:pt idx="3">
                  <c:v>-0.72791329088164469</c:v>
                </c:pt>
                <c:pt idx="4">
                  <c:v>-0.52440051270804089</c:v>
                </c:pt>
                <c:pt idx="5">
                  <c:v>-0.34069482708779553</c:v>
                </c:pt>
                <c:pt idx="6">
                  <c:v>-0.16789400478810546</c:v>
                </c:pt>
                <c:pt idx="7">
                  <c:v>0</c:v>
                </c:pt>
                <c:pt idx="8">
                  <c:v>0.16789400478810546</c:v>
                </c:pt>
                <c:pt idx="9">
                  <c:v>0.34069482708779542</c:v>
                </c:pt>
                <c:pt idx="10">
                  <c:v>0.52440051270804078</c:v>
                </c:pt>
                <c:pt idx="11">
                  <c:v>0.72791329088164458</c:v>
                </c:pt>
                <c:pt idx="12">
                  <c:v>0.96742156610170071</c:v>
                </c:pt>
                <c:pt idx="13">
                  <c:v>1.2815515655446006</c:v>
                </c:pt>
                <c:pt idx="14">
                  <c:v>1.8339146358159142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CA-46B6-BA94-3564C0B1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309256"/>
        <c:axId val="460309648"/>
      </c:scatterChart>
      <c:valAx>
        <c:axId val="460309256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0309648"/>
        <c:crosses val="autoZero"/>
        <c:crossBetween val="midCat"/>
      </c:valAx>
      <c:valAx>
        <c:axId val="460309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0309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Longevity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'Corr 1'!$H$67:$H$81</c:f>
              <c:numCache>
                <c:formatCode>General</c:formatCode>
                <c:ptCount val="15"/>
                <c:pt idx="0">
                  <c:v>53</c:v>
                </c:pt>
                <c:pt idx="1">
                  <c:v>58</c:v>
                </c:pt>
                <c:pt idx="2">
                  <c:v>60</c:v>
                </c:pt>
                <c:pt idx="3">
                  <c:v>65</c:v>
                </c:pt>
                <c:pt idx="4">
                  <c:v>68</c:v>
                </c:pt>
                <c:pt idx="5">
                  <c:v>72</c:v>
                </c:pt>
                <c:pt idx="6">
                  <c:v>73</c:v>
                </c:pt>
                <c:pt idx="7">
                  <c:v>75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84</c:v>
                </c:pt>
                <c:pt idx="13">
                  <c:v>85</c:v>
                </c:pt>
                <c:pt idx="14">
                  <c:v>92</c:v>
                </c:pt>
              </c:numCache>
            </c:numRef>
          </c:xVal>
          <c:yVal>
            <c:numRef>
              <c:f>'Corr 1'!$I$67:$I$81</c:f>
              <c:numCache>
                <c:formatCode>General</c:formatCode>
                <c:ptCount val="15"/>
                <c:pt idx="0">
                  <c:v>-1.8339146358159142</c:v>
                </c:pt>
                <c:pt idx="1">
                  <c:v>-1.2815515655446006</c:v>
                </c:pt>
                <c:pt idx="2">
                  <c:v>-0.96742156610170071</c:v>
                </c:pt>
                <c:pt idx="3">
                  <c:v>-0.72791329088164469</c:v>
                </c:pt>
                <c:pt idx="4">
                  <c:v>-0.52440051270804089</c:v>
                </c:pt>
                <c:pt idx="5">
                  <c:v>-0.34069482708779553</c:v>
                </c:pt>
                <c:pt idx="6">
                  <c:v>-0.16789400478810546</c:v>
                </c:pt>
                <c:pt idx="7">
                  <c:v>0</c:v>
                </c:pt>
                <c:pt idx="8">
                  <c:v>0.16789400478810546</c:v>
                </c:pt>
                <c:pt idx="9">
                  <c:v>0.34069482708779542</c:v>
                </c:pt>
                <c:pt idx="10">
                  <c:v>0.52440051270804078</c:v>
                </c:pt>
                <c:pt idx="11">
                  <c:v>0.72791329088164458</c:v>
                </c:pt>
                <c:pt idx="12">
                  <c:v>0.96742156610170071</c:v>
                </c:pt>
                <c:pt idx="13">
                  <c:v>1.2815515655446006</c:v>
                </c:pt>
                <c:pt idx="14">
                  <c:v>1.8339146358159142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58-4AD9-88C8-E77F92C96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928648"/>
        <c:axId val="750930216"/>
      </c:scatterChart>
      <c:valAx>
        <c:axId val="750928648"/>
        <c:scaling>
          <c:orientation val="minMax"/>
          <c:min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30216"/>
        <c:crosses val="autoZero"/>
        <c:crossBetween val="midCat"/>
      </c:valAx>
      <c:valAx>
        <c:axId val="750930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0928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152400</xdr:colOff>
      <xdr:row>1</xdr:row>
      <xdr:rowOff>33337</xdr:rowOff>
    </xdr:from>
    <xdr:to>
      <xdr:col>25</xdr:col>
      <xdr:colOff>457200</xdr:colOff>
      <xdr:row>15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24A0B3-6C90-4E80-ADBC-2BE79A200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161925</xdr:colOff>
      <xdr:row>31</xdr:row>
      <xdr:rowOff>52387</xdr:rowOff>
    </xdr:from>
    <xdr:to>
      <xdr:col>25</xdr:col>
      <xdr:colOff>466725</xdr:colOff>
      <xdr:row>45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04DF33-306D-4107-849D-66B679447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152400</xdr:colOff>
      <xdr:row>16</xdr:row>
      <xdr:rowOff>14287</xdr:rowOff>
    </xdr:from>
    <xdr:to>
      <xdr:col>25</xdr:col>
      <xdr:colOff>495300</xdr:colOff>
      <xdr:row>30</xdr:row>
      <xdr:rowOff>113347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45DC27A-311B-4636-9809-963870F57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Life Exp</v>
          </cell>
        </row>
        <row r="4">
          <cell r="A4">
            <v>5</v>
          </cell>
          <cell r="B4">
            <v>80</v>
          </cell>
        </row>
        <row r="5">
          <cell r="A5">
            <v>23</v>
          </cell>
          <cell r="B5">
            <v>78</v>
          </cell>
        </row>
        <row r="6">
          <cell r="A6">
            <v>25</v>
          </cell>
          <cell r="B6">
            <v>60</v>
          </cell>
        </row>
        <row r="7">
          <cell r="A7">
            <v>48</v>
          </cell>
          <cell r="B7">
            <v>53</v>
          </cell>
        </row>
        <row r="8">
          <cell r="A8">
            <v>17</v>
          </cell>
          <cell r="B8">
            <v>85</v>
          </cell>
        </row>
        <row r="9">
          <cell r="A9">
            <v>8</v>
          </cell>
          <cell r="B9">
            <v>84</v>
          </cell>
        </row>
        <row r="10">
          <cell r="A10">
            <v>4</v>
          </cell>
          <cell r="B10">
            <v>73</v>
          </cell>
        </row>
        <row r="11">
          <cell r="A11">
            <v>26</v>
          </cell>
          <cell r="B11">
            <v>79</v>
          </cell>
        </row>
        <row r="12">
          <cell r="A12">
            <v>11</v>
          </cell>
          <cell r="B12">
            <v>81</v>
          </cell>
        </row>
        <row r="13">
          <cell r="A13">
            <v>19</v>
          </cell>
          <cell r="B13">
            <v>75</v>
          </cell>
        </row>
        <row r="14">
          <cell r="A14">
            <v>14</v>
          </cell>
          <cell r="B14">
            <v>68</v>
          </cell>
        </row>
        <row r="15">
          <cell r="A15">
            <v>35</v>
          </cell>
          <cell r="B15">
            <v>72</v>
          </cell>
        </row>
        <row r="16">
          <cell r="A16">
            <v>29</v>
          </cell>
          <cell r="B16">
            <v>58</v>
          </cell>
        </row>
        <row r="17">
          <cell r="A17">
            <v>4</v>
          </cell>
          <cell r="B17">
            <v>92</v>
          </cell>
        </row>
        <row r="18">
          <cell r="A18">
            <v>23</v>
          </cell>
          <cell r="B18">
            <v>65</v>
          </cell>
        </row>
        <row r="43">
          <cell r="H43">
            <v>4</v>
          </cell>
          <cell r="I43">
            <v>-1.8339146358159142</v>
          </cell>
        </row>
        <row r="44">
          <cell r="H44">
            <v>4</v>
          </cell>
          <cell r="I44">
            <v>-1.2815515655446006</v>
          </cell>
        </row>
        <row r="45">
          <cell r="H45">
            <v>5</v>
          </cell>
          <cell r="I45">
            <v>-0.96742156610170071</v>
          </cell>
        </row>
        <row r="46">
          <cell r="H46">
            <v>8</v>
          </cell>
          <cell r="I46">
            <v>-0.72791329088164469</v>
          </cell>
        </row>
        <row r="47">
          <cell r="H47">
            <v>11</v>
          </cell>
          <cell r="I47">
            <v>-0.52440051270804089</v>
          </cell>
        </row>
        <row r="48">
          <cell r="H48">
            <v>14</v>
          </cell>
          <cell r="I48">
            <v>-0.34069482708779553</v>
          </cell>
        </row>
        <row r="49">
          <cell r="H49">
            <v>17</v>
          </cell>
          <cell r="I49">
            <v>-0.16789400478810546</v>
          </cell>
        </row>
        <row r="50">
          <cell r="H50">
            <v>19</v>
          </cell>
          <cell r="I50">
            <v>0</v>
          </cell>
        </row>
        <row r="51">
          <cell r="H51">
            <v>23</v>
          </cell>
          <cell r="I51">
            <v>0.16789400478810546</v>
          </cell>
        </row>
        <row r="52">
          <cell r="H52">
            <v>23</v>
          </cell>
          <cell r="I52">
            <v>0.34069482708779542</v>
          </cell>
        </row>
        <row r="53">
          <cell r="H53">
            <v>25</v>
          </cell>
          <cell r="I53">
            <v>0.52440051270804078</v>
          </cell>
        </row>
        <row r="54">
          <cell r="H54">
            <v>26</v>
          </cell>
          <cell r="I54">
            <v>0.72791329088164458</v>
          </cell>
        </row>
        <row r="55">
          <cell r="H55">
            <v>29</v>
          </cell>
          <cell r="I55">
            <v>0.96742156610170071</v>
          </cell>
        </row>
        <row r="56">
          <cell r="H56">
            <v>35</v>
          </cell>
          <cell r="I56">
            <v>1.2815515655446006</v>
          </cell>
        </row>
        <row r="57">
          <cell r="H57">
            <v>48</v>
          </cell>
          <cell r="I57">
            <v>1.8339146358159142</v>
          </cell>
        </row>
        <row r="67">
          <cell r="H67">
            <v>53</v>
          </cell>
          <cell r="I67">
            <v>-1.8339146358159142</v>
          </cell>
        </row>
        <row r="68">
          <cell r="H68">
            <v>58</v>
          </cell>
          <cell r="I68">
            <v>-1.2815515655446006</v>
          </cell>
        </row>
        <row r="69">
          <cell r="H69">
            <v>60</v>
          </cell>
          <cell r="I69">
            <v>-0.96742156610170071</v>
          </cell>
        </row>
        <row r="70">
          <cell r="H70">
            <v>65</v>
          </cell>
          <cell r="I70">
            <v>-0.72791329088164469</v>
          </cell>
        </row>
        <row r="71">
          <cell r="H71">
            <v>68</v>
          </cell>
          <cell r="I71">
            <v>-0.52440051270804089</v>
          </cell>
        </row>
        <row r="72">
          <cell r="H72">
            <v>72</v>
          </cell>
          <cell r="I72">
            <v>-0.34069482708779553</v>
          </cell>
        </row>
        <row r="73">
          <cell r="H73">
            <v>73</v>
          </cell>
          <cell r="I73">
            <v>-0.16789400478810546</v>
          </cell>
        </row>
        <row r="74">
          <cell r="H74">
            <v>75</v>
          </cell>
          <cell r="I74">
            <v>0</v>
          </cell>
        </row>
        <row r="75">
          <cell r="H75">
            <v>78</v>
          </cell>
          <cell r="I75">
            <v>0.16789400478810546</v>
          </cell>
        </row>
        <row r="76">
          <cell r="H76">
            <v>79</v>
          </cell>
          <cell r="I76">
            <v>0.34069482708779542</v>
          </cell>
        </row>
        <row r="77">
          <cell r="H77">
            <v>80</v>
          </cell>
          <cell r="I77">
            <v>0.52440051270804078</v>
          </cell>
        </row>
        <row r="78">
          <cell r="H78">
            <v>81</v>
          </cell>
          <cell r="I78">
            <v>0.72791329088164458</v>
          </cell>
        </row>
        <row r="79">
          <cell r="H79">
            <v>84</v>
          </cell>
          <cell r="I79">
            <v>0.96742156610170071</v>
          </cell>
        </row>
        <row r="80">
          <cell r="H80">
            <v>85</v>
          </cell>
          <cell r="I80">
            <v>1.2815515655446006</v>
          </cell>
        </row>
        <row r="81">
          <cell r="H81">
            <v>92</v>
          </cell>
          <cell r="I81">
            <v>1.8339146358159142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FD69-725E-4399-B867-625E745C8287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68</v>
      </c>
    </row>
    <row r="2" spans="1:2" x14ac:dyDescent="0.35">
      <c r="A2" t="s">
        <v>71</v>
      </c>
    </row>
    <row r="4" spans="1:2" x14ac:dyDescent="0.35">
      <c r="A4" t="s">
        <v>69</v>
      </c>
      <c r="B4" s="28">
        <v>45813</v>
      </c>
    </row>
    <row r="6" spans="1:2" x14ac:dyDescent="0.35">
      <c r="A6" s="29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16CD-2B05-44FB-9F62-4D6ED01002E3}">
  <sheetPr codeName="Sheet55"/>
  <dimension ref="A1:AI81"/>
  <sheetViews>
    <sheetView workbookViewId="0"/>
  </sheetViews>
  <sheetFormatPr defaultRowHeight="14.5" x14ac:dyDescent="0.35"/>
  <cols>
    <col min="1" max="2" width="8.81640625" customWidth="1"/>
    <col min="3" max="3" width="6.81640625" customWidth="1"/>
    <col min="4" max="4" width="9.1796875" customWidth="1"/>
    <col min="6" max="6" width="3.1796875" customWidth="1"/>
    <col min="7" max="7" width="23.453125" customWidth="1"/>
    <col min="11" max="11" width="3.26953125" customWidth="1"/>
    <col min="12" max="12" width="25.453125" customWidth="1"/>
    <col min="13" max="13" width="5.7265625" customWidth="1"/>
    <col min="16" max="16" width="3.26953125" customWidth="1"/>
    <col min="17" max="17" width="16.453125" customWidth="1"/>
    <col min="18" max="18" width="4.26953125" customWidth="1"/>
    <col min="29" max="29" width="3" customWidth="1"/>
    <col min="30" max="30" width="22.26953125" customWidth="1"/>
    <col min="34" max="34" width="4" customWidth="1"/>
    <col min="35" max="35" width="36.7265625" customWidth="1"/>
  </cols>
  <sheetData>
    <row r="1" spans="1:35" x14ac:dyDescent="0.35">
      <c r="A1" s="1" t="s">
        <v>0</v>
      </c>
      <c r="B1" s="1"/>
    </row>
    <row r="3" spans="1:35" s="3" customFormat="1" x14ac:dyDescent="0.35">
      <c r="A3" s="2" t="s">
        <v>1</v>
      </c>
      <c r="B3" s="2" t="s">
        <v>2</v>
      </c>
      <c r="C3"/>
      <c r="D3" t="s">
        <v>3</v>
      </c>
      <c r="E3"/>
      <c r="F3"/>
      <c r="G3"/>
      <c r="H3"/>
      <c r="I3" t="s">
        <v>4</v>
      </c>
      <c r="J3"/>
      <c r="K3"/>
      <c r="L3"/>
      <c r="M3"/>
      <c r="N3" t="s">
        <v>5</v>
      </c>
      <c r="O3"/>
      <c r="P3"/>
      <c r="Q3"/>
      <c r="S3"/>
      <c r="T3"/>
      <c r="U3"/>
      <c r="V3"/>
      <c r="AB3" s="3" t="s">
        <v>6</v>
      </c>
      <c r="AF3" s="3" t="s">
        <v>7</v>
      </c>
    </row>
    <row r="4" spans="1:35" x14ac:dyDescent="0.35">
      <c r="A4" s="4">
        <v>5</v>
      </c>
      <c r="B4" s="5">
        <v>80</v>
      </c>
    </row>
    <row r="5" spans="1:35" x14ac:dyDescent="0.35">
      <c r="A5" s="4">
        <v>23</v>
      </c>
      <c r="B5" s="4">
        <v>78</v>
      </c>
      <c r="D5" t="s">
        <v>8</v>
      </c>
      <c r="E5" s="6">
        <f>CORREL(A4:A18,B4:B18)</f>
        <v>-0.71343017438658085</v>
      </c>
      <c r="G5" t="e">
        <f ca="1">FTEXT(E5)</f>
        <v>#NAME?</v>
      </c>
      <c r="I5" s="7" t="s">
        <v>8</v>
      </c>
      <c r="J5" s="6">
        <f>E5</f>
        <v>-0.71343017438658085</v>
      </c>
      <c r="L5" t="e">
        <f ca="1">FTEXT(J5)</f>
        <v>#NAME?</v>
      </c>
      <c r="N5" t="s">
        <v>9</v>
      </c>
      <c r="O5" s="6">
        <f>J7</f>
        <v>-0.89413518216034948</v>
      </c>
      <c r="Q5" t="e">
        <f ca="1">FTEXT(O5)</f>
        <v>#NAME?</v>
      </c>
      <c r="AB5" s="6" t="e">
        <f ca="1">CorrTTest(E5,E7,2)</f>
        <v>#NAME?</v>
      </c>
      <c r="AD5" t="e">
        <f ca="1">FTEXT(AB5)</f>
        <v>#NAME?</v>
      </c>
      <c r="AF5" t="e">
        <f t="array" aca="1" ref="AF5:AG8" ca="1">CorrelTTest(E5,E7,E11,TRUE)</f>
        <v>#NAME?</v>
      </c>
      <c r="AG5" s="6" t="e">
        <f ca="1"/>
        <v>#NAME?</v>
      </c>
      <c r="AI5" t="e">
        <f ca="1">FTEXT(AF5)</f>
        <v>#NAME?</v>
      </c>
    </row>
    <row r="6" spans="1:35" x14ac:dyDescent="0.35">
      <c r="A6" s="4">
        <v>25</v>
      </c>
      <c r="B6" s="4">
        <v>60</v>
      </c>
      <c r="D6" s="10" t="s">
        <v>10</v>
      </c>
      <c r="E6" s="8">
        <v>0</v>
      </c>
      <c r="I6" s="11" t="s">
        <v>10</v>
      </c>
      <c r="J6" s="8">
        <f>E6</f>
        <v>0</v>
      </c>
      <c r="L6" t="e">
        <f ca="1">FTEXT(J6)</f>
        <v>#NAME?</v>
      </c>
      <c r="N6" t="s">
        <v>11</v>
      </c>
      <c r="O6" s="8">
        <f>ABS(J14)</f>
        <v>1.9599639845400538</v>
      </c>
      <c r="Q6" t="e">
        <f ca="1">FTEXT(O6)</f>
        <v>#NAME?</v>
      </c>
      <c r="AB6" s="9" t="e">
        <f ca="1">CorrTTest(E5,E7,1)</f>
        <v>#NAME?</v>
      </c>
      <c r="AD6" t="e">
        <f ca="1">FTEXT(AB6)</f>
        <v>#NAME?</v>
      </c>
      <c r="AF6" t="e">
        <f ca="1"/>
        <v>#NAME?</v>
      </c>
      <c r="AG6" s="8" t="e">
        <f ca="1"/>
        <v>#NAME?</v>
      </c>
    </row>
    <row r="7" spans="1:35" ht="16.5" x14ac:dyDescent="0.45">
      <c r="A7" s="4">
        <v>48</v>
      </c>
      <c r="B7" s="4">
        <v>53</v>
      </c>
      <c r="D7" t="s">
        <v>12</v>
      </c>
      <c r="E7" s="8">
        <f>COUNT(A4:A18)</f>
        <v>15</v>
      </c>
      <c r="G7" t="e">
        <f ca="1">FTEXT(E7)</f>
        <v>#NAME?</v>
      </c>
      <c r="I7" s="7" t="s">
        <v>9</v>
      </c>
      <c r="J7" s="8">
        <f>FISHER(J5)</f>
        <v>-0.89413518216034948</v>
      </c>
      <c r="L7" t="e">
        <f ca="1">FTEXT(J7)</f>
        <v>#NAME?</v>
      </c>
      <c r="N7" s="7" t="s">
        <v>13</v>
      </c>
      <c r="O7" s="9">
        <f>J11</f>
        <v>0.28867513459481292</v>
      </c>
      <c r="Q7" t="e">
        <f ca="1">FTEXT(O7)</f>
        <v>#NAME?</v>
      </c>
      <c r="AF7" t="e">
        <f ca="1"/>
        <v>#NAME?</v>
      </c>
      <c r="AG7" s="8" t="e">
        <f ca="1"/>
        <v>#NAME?</v>
      </c>
    </row>
    <row r="8" spans="1:35" x14ac:dyDescent="0.35">
      <c r="A8" s="4">
        <v>17</v>
      </c>
      <c r="B8" s="4">
        <v>85</v>
      </c>
      <c r="D8" t="s">
        <v>14</v>
      </c>
      <c r="E8" s="8">
        <f>E7-2</f>
        <v>13</v>
      </c>
      <c r="G8" t="e">
        <f ca="1">FTEXT(E8)</f>
        <v>#NAME?</v>
      </c>
      <c r="I8" s="11" t="s">
        <v>15</v>
      </c>
      <c r="J8" s="9">
        <f>FISHER(J6)</f>
        <v>0</v>
      </c>
      <c r="L8" t="e">
        <f ca="1">FTEXT(J8)</f>
        <v>#NAME?</v>
      </c>
      <c r="Q8" t="e">
        <f ca="1">FTEXT(O8)</f>
        <v>#NAME?</v>
      </c>
      <c r="AB8" s="6" t="e">
        <f ca="1">CorrTest(J6,J5,J10,2)</f>
        <v>#NAME?</v>
      </c>
      <c r="AD8" t="e">
        <f ca="1">FTEXT(AB8)</f>
        <v>#NAME?</v>
      </c>
      <c r="AF8" t="e">
        <f ca="1"/>
        <v>#NAME?</v>
      </c>
      <c r="AG8" s="9" t="e">
        <f ca="1"/>
        <v>#NAME?</v>
      </c>
    </row>
    <row r="9" spans="1:35" ht="16.5" x14ac:dyDescent="0.45">
      <c r="A9" s="4">
        <v>8</v>
      </c>
      <c r="B9" s="4">
        <v>84</v>
      </c>
      <c r="D9" t="s">
        <v>16</v>
      </c>
      <c r="E9" s="8">
        <f>SQRT((1-E5^2)/E8)</f>
        <v>0.1943465157263681</v>
      </c>
      <c r="G9" t="e">
        <f ca="1">FTEXT(E9)</f>
        <v>#NAME?</v>
      </c>
      <c r="L9" t="e">
        <f ca="1">FTEXT(J9)</f>
        <v>#NAME?</v>
      </c>
      <c r="N9" t="s">
        <v>17</v>
      </c>
      <c r="O9" s="6">
        <f>O5-O6*O7</f>
        <v>-1.4599280491984352</v>
      </c>
      <c r="Q9" t="e">
        <f ca="1">FTEXT(O9)</f>
        <v>#NAME?</v>
      </c>
      <c r="AB9" s="9" t="e">
        <f ca="1">CorrTest(J6,J5,J10,1)</f>
        <v>#NAME?</v>
      </c>
      <c r="AD9" t="e">
        <f ca="1">FTEXT(AB9)</f>
        <v>#NAME?</v>
      </c>
    </row>
    <row r="10" spans="1:35" x14ac:dyDescent="0.35">
      <c r="A10" s="4">
        <v>4</v>
      </c>
      <c r="B10" s="4">
        <v>73</v>
      </c>
      <c r="D10" t="s">
        <v>18</v>
      </c>
      <c r="E10" s="8">
        <f>E5/E9</f>
        <v>-3.6709182653475567</v>
      </c>
      <c r="G10" t="e">
        <f ca="1">FTEXT(E10)</f>
        <v>#NAME?</v>
      </c>
      <c r="I10" s="7" t="s">
        <v>12</v>
      </c>
      <c r="J10" s="6">
        <f>E7</f>
        <v>15</v>
      </c>
      <c r="L10" t="e">
        <f ca="1">FTEXT(J10)</f>
        <v>#NAME?</v>
      </c>
      <c r="N10" t="s">
        <v>19</v>
      </c>
      <c r="O10" s="8">
        <f>O5+O6*O7</f>
        <v>-0.32834231512226364</v>
      </c>
      <c r="Q10" t="e">
        <f ca="1">FTEXT(O10)</f>
        <v>#NAME?</v>
      </c>
    </row>
    <row r="11" spans="1:35" ht="16.5" x14ac:dyDescent="0.45">
      <c r="A11" s="4">
        <v>26</v>
      </c>
      <c r="B11" s="4">
        <v>79</v>
      </c>
      <c r="D11" t="s">
        <v>20</v>
      </c>
      <c r="E11" s="8">
        <v>0.05</v>
      </c>
      <c r="I11" s="7" t="s">
        <v>13</v>
      </c>
      <c r="J11" s="8">
        <f>1/SQRT(J10-3)</f>
        <v>0.28867513459481292</v>
      </c>
      <c r="L11" t="e">
        <f ca="1">FTEXT(J11)</f>
        <v>#NAME?</v>
      </c>
      <c r="N11" t="s">
        <v>21</v>
      </c>
      <c r="O11" s="8">
        <f>FISHERINV(O9)</f>
        <v>-0.89763862299200325</v>
      </c>
      <c r="Q11" t="e">
        <f ca="1">FTEXT(O11)</f>
        <v>#NAME?</v>
      </c>
      <c r="AB11" s="6" t="e">
        <f ca="1">CorrTLower(E5,E7,E11)</f>
        <v>#NAME?</v>
      </c>
      <c r="AD11" t="e">
        <f ca="1">FTEXT(AB11)</f>
        <v>#NAME?</v>
      </c>
      <c r="AF11" t="e">
        <f t="array" aca="1" ref="AF11:AG14" ca="1">CorrelTest(J5,J10,J6,J13,TRUE)</f>
        <v>#NAME?</v>
      </c>
      <c r="AG11" s="6" t="e">
        <f ca="1"/>
        <v>#NAME?</v>
      </c>
      <c r="AI11" t="e">
        <f ca="1">FTEXT(AF11)</f>
        <v>#NAME?</v>
      </c>
    </row>
    <row r="12" spans="1:35" x14ac:dyDescent="0.35">
      <c r="A12" s="4">
        <v>11</v>
      </c>
      <c r="B12" s="4">
        <v>81</v>
      </c>
      <c r="D12" t="s">
        <v>22</v>
      </c>
      <c r="E12" s="8">
        <f>TINV(E11,E8)</f>
        <v>2.1603686564627926</v>
      </c>
      <c r="G12" s="12" t="s">
        <v>23</v>
      </c>
      <c r="I12" t="s">
        <v>24</v>
      </c>
      <c r="J12" s="8">
        <f>(J7-J8)/J11</f>
        <v>-3.0973751286731566</v>
      </c>
      <c r="L12" t="e">
        <f ca="1">FTEXT(J12)</f>
        <v>#NAME?</v>
      </c>
      <c r="N12" t="s">
        <v>25</v>
      </c>
      <c r="O12" s="9">
        <f>FISHERINV(O10)</f>
        <v>-0.3170304877306484</v>
      </c>
      <c r="Q12" t="e">
        <f ca="1">FTEXT(O12)</f>
        <v>#NAME?</v>
      </c>
      <c r="AB12" s="9" t="e">
        <f ca="1">CorrTUpper(E5,E7,E11)</f>
        <v>#NAME?</v>
      </c>
      <c r="AD12" t="e">
        <f ca="1">FTEXT(AB12)</f>
        <v>#NAME?</v>
      </c>
      <c r="AF12" t="e">
        <f ca="1"/>
        <v>#NAME?</v>
      </c>
      <c r="AG12" s="8" t="e">
        <f ca="1"/>
        <v>#NAME?</v>
      </c>
    </row>
    <row r="13" spans="1:35" x14ac:dyDescent="0.35">
      <c r="A13" s="4">
        <v>19</v>
      </c>
      <c r="B13" s="4">
        <v>75</v>
      </c>
      <c r="D13" t="s">
        <v>26</v>
      </c>
      <c r="E13" s="8">
        <f>TDIST(ABS(E10),E8,2)</f>
        <v>2.822342990071231E-3</v>
      </c>
      <c r="G13" s="12" t="s">
        <v>27</v>
      </c>
      <c r="I13" t="s">
        <v>20</v>
      </c>
      <c r="J13" s="8">
        <v>0.05</v>
      </c>
      <c r="AF13" t="e">
        <f ca="1"/>
        <v>#NAME?</v>
      </c>
      <c r="AG13" s="8" t="e">
        <f ca="1"/>
        <v>#NAME?</v>
      </c>
    </row>
    <row r="14" spans="1:35" x14ac:dyDescent="0.35">
      <c r="A14" s="4">
        <v>14</v>
      </c>
      <c r="B14" s="4">
        <v>68</v>
      </c>
      <c r="D14" t="s">
        <v>28</v>
      </c>
      <c r="E14" s="13" t="str">
        <f>IF(E13&lt;E11,"yes","no")</f>
        <v>yes</v>
      </c>
      <c r="G14" t="e">
        <f ca="1">FTEXT(E14)</f>
        <v>#NAME?</v>
      </c>
      <c r="I14" t="s">
        <v>11</v>
      </c>
      <c r="J14" s="8">
        <f>NORMSINV(J13/2)</f>
        <v>-1.9599639845400538</v>
      </c>
      <c r="L14" s="12" t="s">
        <v>29</v>
      </c>
      <c r="AB14" s="6" t="e">
        <f ca="1">CorrLower(E5,E7,E11)</f>
        <v>#NAME?</v>
      </c>
      <c r="AD14" t="e">
        <f ca="1">FTEXT(AB14)</f>
        <v>#NAME?</v>
      </c>
      <c r="AF14" t="e">
        <f ca="1"/>
        <v>#NAME?</v>
      </c>
      <c r="AG14" s="9" t="e">
        <f ca="1"/>
        <v>#NAME?</v>
      </c>
    </row>
    <row r="15" spans="1:35" x14ac:dyDescent="0.35">
      <c r="A15" s="4">
        <v>35</v>
      </c>
      <c r="B15" s="4">
        <v>72</v>
      </c>
      <c r="I15" t="s">
        <v>26</v>
      </c>
      <c r="J15" s="8">
        <f>2*NORMSDIST(J12)</f>
        <v>1.9524263310825908E-3</v>
      </c>
      <c r="L15" s="12" t="s">
        <v>30</v>
      </c>
      <c r="AB15" s="9" t="e">
        <f ca="1">CorrUpper(E5,E7,E11)</f>
        <v>#NAME?</v>
      </c>
      <c r="AD15" t="e">
        <f ca="1">FTEXT(AB15)</f>
        <v>#NAME?</v>
      </c>
    </row>
    <row r="16" spans="1:35" x14ac:dyDescent="0.35">
      <c r="A16" s="4">
        <v>29</v>
      </c>
      <c r="B16" s="4">
        <v>58</v>
      </c>
      <c r="D16" t="s">
        <v>31</v>
      </c>
      <c r="E16" s="6">
        <f>E5-E12*E9</f>
        <v>-1.1332902954545796</v>
      </c>
      <c r="G16" t="e">
        <f ca="1">FTEXT(E16)</f>
        <v>#NAME?</v>
      </c>
      <c r="I16" t="s">
        <v>28</v>
      </c>
      <c r="J16" s="13" t="str">
        <f>IF(J15&lt;J13,"yes","no")</f>
        <v>yes</v>
      </c>
      <c r="K16" s="14"/>
      <c r="L16" t="e">
        <f ca="1">FTEXT(J16)</f>
        <v>#NAME?</v>
      </c>
    </row>
    <row r="17" spans="1:35" x14ac:dyDescent="0.35">
      <c r="A17" s="4">
        <v>4</v>
      </c>
      <c r="B17" s="4">
        <v>92</v>
      </c>
      <c r="D17" t="s">
        <v>32</v>
      </c>
      <c r="E17" s="9">
        <f>E5+E12*E9</f>
        <v>-0.29357005331858199</v>
      </c>
      <c r="G17" t="e">
        <f ca="1">FTEXT(E17)</f>
        <v>#NAME?</v>
      </c>
      <c r="AF17" t="e">
        <f t="array" aca="1" ref="AF17:AG20" ca="1">CorrelTTest(A4:A18,B4:B18,E11,TRUE)</f>
        <v>#NAME?</v>
      </c>
      <c r="AG17" s="6" t="e">
        <f ca="1"/>
        <v>#NAME?</v>
      </c>
      <c r="AI17" t="e">
        <f ca="1">FTEXT(AF17)</f>
        <v>#NAME?</v>
      </c>
    </row>
    <row r="18" spans="1:35" x14ac:dyDescent="0.35">
      <c r="A18" s="15">
        <v>23</v>
      </c>
      <c r="B18" s="15">
        <v>65</v>
      </c>
      <c r="AF18" t="e">
        <f ca="1"/>
        <v>#NAME?</v>
      </c>
      <c r="AG18" s="8" t="e">
        <f ca="1"/>
        <v>#NAME?</v>
      </c>
    </row>
    <row r="19" spans="1:35" x14ac:dyDescent="0.35">
      <c r="A19" s="4"/>
      <c r="B19" s="4"/>
      <c r="AF19" t="e">
        <f ca="1"/>
        <v>#NAME?</v>
      </c>
      <c r="AG19" s="8" t="e">
        <f ca="1"/>
        <v>#NAME?</v>
      </c>
    </row>
    <row r="20" spans="1:35" x14ac:dyDescent="0.35">
      <c r="A20" s="4"/>
      <c r="B20" s="4"/>
      <c r="D20" t="s">
        <v>33</v>
      </c>
      <c r="I20" t="s">
        <v>34</v>
      </c>
      <c r="AF20" t="e">
        <f ca="1"/>
        <v>#NAME?</v>
      </c>
      <c r="AG20" s="9" t="e">
        <f ca="1"/>
        <v>#NAME?</v>
      </c>
    </row>
    <row r="21" spans="1:35" x14ac:dyDescent="0.35">
      <c r="A21" s="4"/>
      <c r="B21" s="4"/>
    </row>
    <row r="22" spans="1:35" x14ac:dyDescent="0.35">
      <c r="A22" s="4"/>
      <c r="B22" s="4"/>
      <c r="D22" t="s">
        <v>8</v>
      </c>
      <c r="E22" s="6">
        <f>CORREL(A4:A18,B4:B18)</f>
        <v>-0.71343017438658085</v>
      </c>
      <c r="G22" t="e">
        <f ca="1">FTEXT(E22)</f>
        <v>#NAME?</v>
      </c>
      <c r="I22" s="7" t="s">
        <v>8</v>
      </c>
      <c r="J22" s="6">
        <f>E22</f>
        <v>-0.71343017438658085</v>
      </c>
      <c r="L22" t="e">
        <f ca="1">FTEXT(J22)</f>
        <v>#NAME?</v>
      </c>
    </row>
    <row r="23" spans="1:35" x14ac:dyDescent="0.35">
      <c r="A23" s="4"/>
      <c r="B23" s="4"/>
      <c r="D23" s="10" t="s">
        <v>10</v>
      </c>
      <c r="E23" s="8">
        <v>0</v>
      </c>
      <c r="I23" s="11" t="s">
        <v>10</v>
      </c>
      <c r="J23" s="8">
        <f>E23</f>
        <v>0</v>
      </c>
      <c r="L23" t="e">
        <f ca="1">FTEXT(J23)</f>
        <v>#NAME?</v>
      </c>
      <c r="AF23" t="e">
        <f t="array" aca="1" ref="AF23:AG26" ca="1">CorrelTest(A4:A18,B4:B18,J6,J13,TRUE)</f>
        <v>#NAME?</v>
      </c>
      <c r="AG23" s="6" t="e">
        <f ca="1"/>
        <v>#NAME?</v>
      </c>
      <c r="AI23" t="e">
        <f ca="1">FTEXT(AF23)</f>
        <v>#NAME?</v>
      </c>
    </row>
    <row r="24" spans="1:35" x14ac:dyDescent="0.35">
      <c r="A24" s="4"/>
      <c r="B24" s="4"/>
      <c r="D24" t="s">
        <v>12</v>
      </c>
      <c r="E24" s="8">
        <f>COUNT(A4:A18)</f>
        <v>15</v>
      </c>
      <c r="G24" t="e">
        <f ca="1">FTEXT(E24)</f>
        <v>#NAME?</v>
      </c>
      <c r="I24" s="7" t="s">
        <v>9</v>
      </c>
      <c r="J24" s="8">
        <f>FISHER(J22)</f>
        <v>-0.89413518216034948</v>
      </c>
      <c r="L24" t="e">
        <f ca="1">FTEXT(J24)</f>
        <v>#NAME?</v>
      </c>
      <c r="AF24" t="e">
        <f ca="1"/>
        <v>#NAME?</v>
      </c>
      <c r="AG24" s="8" t="e">
        <f ca="1"/>
        <v>#NAME?</v>
      </c>
    </row>
    <row r="25" spans="1:35" x14ac:dyDescent="0.35">
      <c r="A25" s="4"/>
      <c r="B25" s="4"/>
      <c r="D25" t="s">
        <v>14</v>
      </c>
      <c r="E25" s="8">
        <f>E24-2</f>
        <v>13</v>
      </c>
      <c r="G25" t="e">
        <f ca="1">FTEXT(E25)</f>
        <v>#NAME?</v>
      </c>
      <c r="I25" s="11" t="s">
        <v>15</v>
      </c>
      <c r="J25" s="9">
        <f>FISHER(J23)</f>
        <v>0</v>
      </c>
      <c r="L25" t="e">
        <f ca="1">FTEXT(J25)</f>
        <v>#NAME?</v>
      </c>
      <c r="AF25" t="e">
        <f ca="1"/>
        <v>#NAME?</v>
      </c>
      <c r="AG25" s="8" t="e">
        <f ca="1"/>
        <v>#NAME?</v>
      </c>
    </row>
    <row r="26" spans="1:35" ht="16.5" x14ac:dyDescent="0.45">
      <c r="A26" s="4"/>
      <c r="B26" s="4"/>
      <c r="D26" t="s">
        <v>16</v>
      </c>
      <c r="E26" s="8">
        <f>SQRT((1-E22^2)/E25)</f>
        <v>0.1943465157263681</v>
      </c>
      <c r="G26" t="e">
        <f ca="1">FTEXT(E26)</f>
        <v>#NAME?</v>
      </c>
      <c r="L26" t="e">
        <f ca="1">FTEXT(J26)</f>
        <v>#NAME?</v>
      </c>
      <c r="AF26" t="e">
        <f ca="1"/>
        <v>#NAME?</v>
      </c>
      <c r="AG26" s="9" t="e">
        <f ca="1"/>
        <v>#NAME?</v>
      </c>
    </row>
    <row r="27" spans="1:35" x14ac:dyDescent="0.35">
      <c r="A27" s="4"/>
      <c r="B27" s="4"/>
      <c r="D27" t="s">
        <v>18</v>
      </c>
      <c r="E27" s="8">
        <f>E22/E26</f>
        <v>-3.6709182653475567</v>
      </c>
      <c r="G27" t="e">
        <f ca="1">FTEXT(E27)</f>
        <v>#NAME?</v>
      </c>
      <c r="I27" s="7" t="s">
        <v>12</v>
      </c>
      <c r="J27" s="6">
        <f>E24</f>
        <v>15</v>
      </c>
      <c r="L27" t="e">
        <f ca="1">FTEXT(J27)</f>
        <v>#NAME?</v>
      </c>
    </row>
    <row r="28" spans="1:35" ht="16.5" x14ac:dyDescent="0.45">
      <c r="A28" s="4"/>
      <c r="B28" s="4"/>
      <c r="D28" t="s">
        <v>20</v>
      </c>
      <c r="E28" s="8">
        <v>0.05</v>
      </c>
      <c r="I28" s="7" t="s">
        <v>13</v>
      </c>
      <c r="J28" s="8">
        <f>1/SQRT(J27-3)</f>
        <v>0.28867513459481292</v>
      </c>
      <c r="L28" t="e">
        <f ca="1">FTEXT(J28)</f>
        <v>#NAME?</v>
      </c>
    </row>
    <row r="29" spans="1:35" x14ac:dyDescent="0.35">
      <c r="A29" s="4"/>
      <c r="B29" s="4"/>
      <c r="D29" t="s">
        <v>22</v>
      </c>
      <c r="E29" s="8">
        <f>TINV(2*E28,E25)</f>
        <v>1.7709333959868729</v>
      </c>
      <c r="G29" s="12" t="s">
        <v>35</v>
      </c>
      <c r="I29" t="s">
        <v>24</v>
      </c>
      <c r="J29" s="8">
        <f>(J24-J25)/J28</f>
        <v>-3.0973751286731566</v>
      </c>
      <c r="L29" t="e">
        <f ca="1">FTEXT(J29)</f>
        <v>#NAME?</v>
      </c>
    </row>
    <row r="30" spans="1:35" x14ac:dyDescent="0.35">
      <c r="A30" s="4"/>
      <c r="B30" s="4"/>
      <c r="D30" t="s">
        <v>26</v>
      </c>
      <c r="E30" s="8">
        <f>TDIST(ABS(E27),E25,1)</f>
        <v>1.4111714950356155E-3</v>
      </c>
      <c r="G30" s="12" t="s">
        <v>36</v>
      </c>
      <c r="I30" t="s">
        <v>20</v>
      </c>
      <c r="J30" s="8">
        <v>0.05</v>
      </c>
    </row>
    <row r="31" spans="1:35" x14ac:dyDescent="0.35">
      <c r="A31" s="4"/>
      <c r="B31" s="4"/>
      <c r="D31" t="s">
        <v>28</v>
      </c>
      <c r="E31" s="13" t="str">
        <f>IF(E30&lt;E28,"yes","no")</f>
        <v>yes</v>
      </c>
      <c r="G31" t="e">
        <f ca="1">FTEXT(E31)</f>
        <v>#NAME?</v>
      </c>
      <c r="I31" t="s">
        <v>11</v>
      </c>
      <c r="J31" s="8">
        <f>NORMSINV(J30)</f>
        <v>-1.6448536269514726</v>
      </c>
      <c r="L31" s="12" t="s">
        <v>37</v>
      </c>
    </row>
    <row r="32" spans="1:35" x14ac:dyDescent="0.35">
      <c r="A32" s="4"/>
      <c r="B32" s="4"/>
      <c r="I32" t="s">
        <v>26</v>
      </c>
      <c r="J32" s="8">
        <f>NORMSDIST(J29)</f>
        <v>9.7621316554129538E-4</v>
      </c>
      <c r="L32" s="12" t="s">
        <v>38</v>
      </c>
    </row>
    <row r="33" spans="7:12" x14ac:dyDescent="0.35">
      <c r="I33" t="s">
        <v>28</v>
      </c>
      <c r="J33" s="13" t="str">
        <f>IF(J32&lt;J30,"yes","no")</f>
        <v>yes</v>
      </c>
      <c r="K33" s="14"/>
      <c r="L33" t="e">
        <f ca="1">FTEXT(J33)</f>
        <v>#NAME?</v>
      </c>
    </row>
    <row r="36" spans="7:12" x14ac:dyDescent="0.35">
      <c r="G36" t="s">
        <v>39</v>
      </c>
    </row>
    <row r="38" spans="7:12" x14ac:dyDescent="0.35">
      <c r="G38" t="s">
        <v>40</v>
      </c>
      <c r="H38">
        <f>COUNT(A4:A18)</f>
        <v>15</v>
      </c>
      <c r="I38">
        <f>2*H38</f>
        <v>30</v>
      </c>
    </row>
    <row r="39" spans="7:12" x14ac:dyDescent="0.35">
      <c r="G39" t="s">
        <v>41</v>
      </c>
      <c r="H39">
        <f>AVERAGE(A4:A18)</f>
        <v>19.399999999999999</v>
      </c>
    </row>
    <row r="40" spans="7:12" x14ac:dyDescent="0.35">
      <c r="G40" t="s">
        <v>42</v>
      </c>
      <c r="H40">
        <f>STDEV(A4:A18)</f>
        <v>12.45448857698644</v>
      </c>
    </row>
    <row r="42" spans="7:12" x14ac:dyDescent="0.35">
      <c r="G42" t="s">
        <v>43</v>
      </c>
      <c r="H42" t="s">
        <v>44</v>
      </c>
      <c r="I42" t="s">
        <v>45</v>
      </c>
      <c r="J42" t="s">
        <v>46</v>
      </c>
    </row>
    <row r="43" spans="7:12" x14ac:dyDescent="0.35">
      <c r="G43">
        <v>1</v>
      </c>
      <c r="H43">
        <v>4</v>
      </c>
      <c r="I43">
        <f t="shared" ref="I43:I57" si="0">NORMSINV(G43/I$38)</f>
        <v>-1.8339146358159142</v>
      </c>
      <c r="J43">
        <f t="shared" ref="J43:J57" si="1">STANDARDIZE(H43,H$39,H$40)</f>
        <v>-1.2365019972362663</v>
      </c>
    </row>
    <row r="44" spans="7:12" x14ac:dyDescent="0.35">
      <c r="G44">
        <f>G43+2</f>
        <v>3</v>
      </c>
      <c r="H44">
        <v>4</v>
      </c>
      <c r="I44">
        <f t="shared" si="0"/>
        <v>-1.2815515655446006</v>
      </c>
      <c r="J44">
        <f t="shared" si="1"/>
        <v>-1.2365019972362663</v>
      </c>
    </row>
    <row r="45" spans="7:12" x14ac:dyDescent="0.35">
      <c r="G45">
        <f t="shared" ref="G45:G57" si="2">G44+2</f>
        <v>5</v>
      </c>
      <c r="H45">
        <v>5</v>
      </c>
      <c r="I45">
        <f t="shared" si="0"/>
        <v>-0.96742156610170071</v>
      </c>
      <c r="J45">
        <f t="shared" si="1"/>
        <v>-1.156209659753392</v>
      </c>
    </row>
    <row r="46" spans="7:12" x14ac:dyDescent="0.35">
      <c r="G46">
        <f t="shared" si="2"/>
        <v>7</v>
      </c>
      <c r="H46">
        <v>8</v>
      </c>
      <c r="I46">
        <f t="shared" si="0"/>
        <v>-0.72791329088164469</v>
      </c>
      <c r="J46">
        <f t="shared" si="1"/>
        <v>-0.9153326473047686</v>
      </c>
    </row>
    <row r="47" spans="7:12" x14ac:dyDescent="0.35">
      <c r="G47">
        <f t="shared" si="2"/>
        <v>9</v>
      </c>
      <c r="H47">
        <v>11</v>
      </c>
      <c r="I47">
        <f t="shared" si="0"/>
        <v>-0.52440051270804089</v>
      </c>
      <c r="J47">
        <f t="shared" si="1"/>
        <v>-0.67445563485614524</v>
      </c>
    </row>
    <row r="48" spans="7:12" x14ac:dyDescent="0.35">
      <c r="G48">
        <f t="shared" si="2"/>
        <v>11</v>
      </c>
      <c r="H48">
        <v>14</v>
      </c>
      <c r="I48">
        <f t="shared" si="0"/>
        <v>-0.34069482708779553</v>
      </c>
      <c r="J48">
        <f t="shared" si="1"/>
        <v>-0.43357862240752187</v>
      </c>
    </row>
    <row r="49" spans="7:10" x14ac:dyDescent="0.35">
      <c r="G49">
        <f t="shared" si="2"/>
        <v>13</v>
      </c>
      <c r="H49">
        <v>17</v>
      </c>
      <c r="I49">
        <f t="shared" si="0"/>
        <v>-0.16789400478810546</v>
      </c>
      <c r="J49">
        <f t="shared" si="1"/>
        <v>-0.19270160995889857</v>
      </c>
    </row>
    <row r="50" spans="7:10" x14ac:dyDescent="0.35">
      <c r="G50">
        <f t="shared" si="2"/>
        <v>15</v>
      </c>
      <c r="H50">
        <v>19</v>
      </c>
      <c r="I50">
        <f t="shared" si="0"/>
        <v>0</v>
      </c>
      <c r="J50">
        <f t="shared" si="1"/>
        <v>-3.2116934993149666E-2</v>
      </c>
    </row>
    <row r="51" spans="7:10" x14ac:dyDescent="0.35">
      <c r="G51">
        <f t="shared" si="2"/>
        <v>17</v>
      </c>
      <c r="H51">
        <v>23</v>
      </c>
      <c r="I51">
        <f t="shared" si="0"/>
        <v>0.16789400478810546</v>
      </c>
      <c r="J51">
        <f t="shared" si="1"/>
        <v>0.2890524149383481</v>
      </c>
    </row>
    <row r="52" spans="7:10" x14ac:dyDescent="0.35">
      <c r="G52">
        <f t="shared" si="2"/>
        <v>19</v>
      </c>
      <c r="H52">
        <v>23</v>
      </c>
      <c r="I52">
        <f t="shared" si="0"/>
        <v>0.34069482708779542</v>
      </c>
      <c r="J52">
        <f t="shared" si="1"/>
        <v>0.2890524149383481</v>
      </c>
    </row>
    <row r="53" spans="7:10" x14ac:dyDescent="0.35">
      <c r="G53">
        <f t="shared" si="2"/>
        <v>21</v>
      </c>
      <c r="H53">
        <v>25</v>
      </c>
      <c r="I53">
        <f t="shared" si="0"/>
        <v>0.52440051270804078</v>
      </c>
      <c r="J53">
        <f t="shared" si="1"/>
        <v>0.44963708990409701</v>
      </c>
    </row>
    <row r="54" spans="7:10" x14ac:dyDescent="0.35">
      <c r="G54">
        <f t="shared" si="2"/>
        <v>23</v>
      </c>
      <c r="H54">
        <v>26</v>
      </c>
      <c r="I54">
        <f t="shared" si="0"/>
        <v>0.72791329088164458</v>
      </c>
      <c r="J54">
        <f t="shared" si="1"/>
        <v>0.52992942738697146</v>
      </c>
    </row>
    <row r="55" spans="7:10" x14ac:dyDescent="0.35">
      <c r="G55">
        <f t="shared" si="2"/>
        <v>25</v>
      </c>
      <c r="H55">
        <v>29</v>
      </c>
      <c r="I55">
        <f t="shared" si="0"/>
        <v>0.96742156610170071</v>
      </c>
      <c r="J55">
        <f t="shared" si="1"/>
        <v>0.77080643983559483</v>
      </c>
    </row>
    <row r="56" spans="7:10" x14ac:dyDescent="0.35">
      <c r="G56">
        <f t="shared" si="2"/>
        <v>27</v>
      </c>
      <c r="H56">
        <v>35</v>
      </c>
      <c r="I56">
        <f t="shared" si="0"/>
        <v>1.2815515655446006</v>
      </c>
      <c r="J56">
        <f t="shared" si="1"/>
        <v>1.2525604647328414</v>
      </c>
    </row>
    <row r="57" spans="7:10" x14ac:dyDescent="0.35">
      <c r="G57">
        <f t="shared" si="2"/>
        <v>29</v>
      </c>
      <c r="H57">
        <v>48</v>
      </c>
      <c r="I57">
        <f t="shared" si="0"/>
        <v>1.8339146358159142</v>
      </c>
      <c r="J57">
        <f t="shared" si="1"/>
        <v>2.2963608520102095</v>
      </c>
    </row>
    <row r="60" spans="7:10" x14ac:dyDescent="0.35">
      <c r="G60" t="s">
        <v>39</v>
      </c>
    </row>
    <row r="62" spans="7:10" x14ac:dyDescent="0.35">
      <c r="G62" t="s">
        <v>40</v>
      </c>
      <c r="H62">
        <f>COUNT(B4:B18)</f>
        <v>15</v>
      </c>
      <c r="I62">
        <f>2*H62</f>
        <v>30</v>
      </c>
    </row>
    <row r="63" spans="7:10" x14ac:dyDescent="0.35">
      <c r="G63" t="s">
        <v>41</v>
      </c>
      <c r="H63">
        <f>AVERAGE(B4:B18)</f>
        <v>73.533333333333331</v>
      </c>
    </row>
    <row r="64" spans="7:10" x14ac:dyDescent="0.35">
      <c r="G64" t="s">
        <v>42</v>
      </c>
      <c r="H64">
        <f>STDEV(B4:B18)</f>
        <v>10.966616007988378</v>
      </c>
    </row>
    <row r="66" spans="7:10" x14ac:dyDescent="0.35">
      <c r="G66" t="s">
        <v>43</v>
      </c>
      <c r="H66" t="s">
        <v>44</v>
      </c>
      <c r="I66" t="s">
        <v>45</v>
      </c>
      <c r="J66" t="s">
        <v>46</v>
      </c>
    </row>
    <row r="67" spans="7:10" x14ac:dyDescent="0.35">
      <c r="G67">
        <v>1</v>
      </c>
      <c r="H67">
        <v>53</v>
      </c>
      <c r="I67">
        <f t="shared" ref="I67:I81" si="3">NORMSINV(G67/I$62)</f>
        <v>-1.8339146358159142</v>
      </c>
      <c r="J67">
        <f t="shared" ref="J67:J81" si="4">STANDARDIZE(H67,H$63,H$64)</f>
        <v>-1.8723490745345965</v>
      </c>
    </row>
    <row r="68" spans="7:10" x14ac:dyDescent="0.35">
      <c r="G68">
        <f>G67+2</f>
        <v>3</v>
      </c>
      <c r="H68">
        <v>58</v>
      </c>
      <c r="I68">
        <f t="shared" si="3"/>
        <v>-1.2815515655446006</v>
      </c>
      <c r="J68">
        <f t="shared" si="4"/>
        <v>-1.4164199167745486</v>
      </c>
    </row>
    <row r="69" spans="7:10" x14ac:dyDescent="0.35">
      <c r="G69">
        <f t="shared" ref="G69:G81" si="5">G68+2</f>
        <v>5</v>
      </c>
      <c r="H69">
        <v>60</v>
      </c>
      <c r="I69">
        <f t="shared" si="3"/>
        <v>-0.96742156610170071</v>
      </c>
      <c r="J69">
        <f t="shared" si="4"/>
        <v>-1.2340482536705295</v>
      </c>
    </row>
    <row r="70" spans="7:10" x14ac:dyDescent="0.35">
      <c r="G70">
        <f t="shared" si="5"/>
        <v>7</v>
      </c>
      <c r="H70">
        <v>65</v>
      </c>
      <c r="I70">
        <f t="shared" si="3"/>
        <v>-0.72791329088164469</v>
      </c>
      <c r="J70">
        <f t="shared" si="4"/>
        <v>-0.77811909591048156</v>
      </c>
    </row>
    <row r="71" spans="7:10" x14ac:dyDescent="0.35">
      <c r="G71">
        <f t="shared" si="5"/>
        <v>9</v>
      </c>
      <c r="H71">
        <v>68</v>
      </c>
      <c r="I71">
        <f t="shared" si="3"/>
        <v>-0.52440051270804089</v>
      </c>
      <c r="J71">
        <f t="shared" si="4"/>
        <v>-0.50456160125445282</v>
      </c>
    </row>
    <row r="72" spans="7:10" x14ac:dyDescent="0.35">
      <c r="G72">
        <f t="shared" si="5"/>
        <v>11</v>
      </c>
      <c r="H72">
        <v>72</v>
      </c>
      <c r="I72">
        <f t="shared" si="3"/>
        <v>-0.34069482708779553</v>
      </c>
      <c r="J72">
        <f t="shared" si="4"/>
        <v>-0.13981827504641453</v>
      </c>
    </row>
    <row r="73" spans="7:10" x14ac:dyDescent="0.35">
      <c r="G73">
        <f t="shared" si="5"/>
        <v>13</v>
      </c>
      <c r="H73">
        <v>73</v>
      </c>
      <c r="I73">
        <f t="shared" si="3"/>
        <v>-0.16789400478810546</v>
      </c>
      <c r="J73">
        <f t="shared" si="4"/>
        <v>-4.8632443494404938E-2</v>
      </c>
    </row>
    <row r="74" spans="7:10" x14ac:dyDescent="0.35">
      <c r="G74">
        <f t="shared" si="5"/>
        <v>15</v>
      </c>
      <c r="H74">
        <v>75</v>
      </c>
      <c r="I74">
        <f t="shared" si="3"/>
        <v>0</v>
      </c>
      <c r="J74">
        <f t="shared" si="4"/>
        <v>0.13373921960961421</v>
      </c>
    </row>
    <row r="75" spans="7:10" x14ac:dyDescent="0.35">
      <c r="G75">
        <f t="shared" si="5"/>
        <v>17</v>
      </c>
      <c r="H75">
        <v>78</v>
      </c>
      <c r="I75">
        <f t="shared" si="3"/>
        <v>0.16789400478810546</v>
      </c>
      <c r="J75">
        <f t="shared" si="4"/>
        <v>0.40729671426564296</v>
      </c>
    </row>
    <row r="76" spans="7:10" x14ac:dyDescent="0.35">
      <c r="G76">
        <f t="shared" si="5"/>
        <v>19</v>
      </c>
      <c r="H76">
        <v>79</v>
      </c>
      <c r="I76">
        <f t="shared" si="3"/>
        <v>0.34069482708779542</v>
      </c>
      <c r="J76">
        <f t="shared" si="4"/>
        <v>0.49848254581765256</v>
      </c>
    </row>
    <row r="77" spans="7:10" x14ac:dyDescent="0.35">
      <c r="G77">
        <f t="shared" si="5"/>
        <v>21</v>
      </c>
      <c r="H77">
        <v>80</v>
      </c>
      <c r="I77">
        <f t="shared" si="3"/>
        <v>0.52440051270804078</v>
      </c>
      <c r="J77">
        <f t="shared" si="4"/>
        <v>0.58966837736966216</v>
      </c>
    </row>
    <row r="78" spans="7:10" x14ac:dyDescent="0.35">
      <c r="G78">
        <f t="shared" si="5"/>
        <v>23</v>
      </c>
      <c r="H78">
        <v>81</v>
      </c>
      <c r="I78">
        <f t="shared" si="3"/>
        <v>0.72791329088164458</v>
      </c>
      <c r="J78">
        <f t="shared" si="4"/>
        <v>0.6808542089216717</v>
      </c>
    </row>
    <row r="79" spans="7:10" x14ac:dyDescent="0.35">
      <c r="G79">
        <f t="shared" si="5"/>
        <v>25</v>
      </c>
      <c r="H79">
        <v>84</v>
      </c>
      <c r="I79">
        <f t="shared" si="3"/>
        <v>0.96742156610170071</v>
      </c>
      <c r="J79">
        <f t="shared" si="4"/>
        <v>0.95441170357770044</v>
      </c>
    </row>
    <row r="80" spans="7:10" x14ac:dyDescent="0.35">
      <c r="G80">
        <f t="shared" si="5"/>
        <v>27</v>
      </c>
      <c r="H80">
        <v>85</v>
      </c>
      <c r="I80">
        <f t="shared" si="3"/>
        <v>1.2815515655446006</v>
      </c>
      <c r="J80">
        <f t="shared" si="4"/>
        <v>1.04559753512971</v>
      </c>
    </row>
    <row r="81" spans="7:10" x14ac:dyDescent="0.35">
      <c r="G81">
        <f t="shared" si="5"/>
        <v>29</v>
      </c>
      <c r="H81">
        <v>92</v>
      </c>
      <c r="I81">
        <f t="shared" si="3"/>
        <v>1.8339146358159142</v>
      </c>
      <c r="J81">
        <f t="shared" si="4"/>
        <v>1.683898355993777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B7FE-4CAB-4832-908D-10CFD623B20F}">
  <sheetPr codeName="Sheet360"/>
  <dimension ref="A1:N20"/>
  <sheetViews>
    <sheetView workbookViewId="0"/>
  </sheetViews>
  <sheetFormatPr defaultRowHeight="14.5" x14ac:dyDescent="0.35"/>
  <cols>
    <col min="3" max="3" width="9.1796875" customWidth="1"/>
    <col min="4" max="4" width="10.54296875" customWidth="1"/>
    <col min="6" max="6" width="7" customWidth="1"/>
    <col min="10" max="10" width="10.54296875" customWidth="1"/>
    <col min="12" max="12" width="6.81640625" customWidth="1"/>
  </cols>
  <sheetData>
    <row r="1" spans="1:14" x14ac:dyDescent="0.35">
      <c r="A1" s="1" t="s">
        <v>47</v>
      </c>
      <c r="B1" s="1"/>
    </row>
    <row r="3" spans="1:14" x14ac:dyDescent="0.35">
      <c r="A3" s="2" t="s">
        <v>1</v>
      </c>
      <c r="B3" s="2" t="s">
        <v>2</v>
      </c>
      <c r="D3" t="s">
        <v>48</v>
      </c>
      <c r="J3" t="s">
        <v>48</v>
      </c>
    </row>
    <row r="4" spans="1:14" x14ac:dyDescent="0.35">
      <c r="A4" s="4">
        <v>5</v>
      </c>
      <c r="B4" s="5">
        <v>80</v>
      </c>
    </row>
    <row r="5" spans="1:14" x14ac:dyDescent="0.35">
      <c r="A5" s="4">
        <v>23</v>
      </c>
      <c r="B5" s="4">
        <v>78</v>
      </c>
      <c r="D5" t="s">
        <v>49</v>
      </c>
      <c r="E5" s="16">
        <f>CORREL(A4:A18,B4:B18)</f>
        <v>-0.71343017438658085</v>
      </c>
      <c r="J5" t="s">
        <v>49</v>
      </c>
      <c r="K5" s="16">
        <f>CORREL(A4:A18,B4:B18)</f>
        <v>-0.71343017438658085</v>
      </c>
    </row>
    <row r="6" spans="1:14" x14ac:dyDescent="0.35">
      <c r="A6" s="4">
        <v>25</v>
      </c>
      <c r="B6" s="4">
        <v>60</v>
      </c>
      <c r="D6" t="s">
        <v>50</v>
      </c>
      <c r="E6" s="17" t="e">
        <f ca="1">SCORREL(A4:A18,B4:B18)</f>
        <v>#NAME?</v>
      </c>
      <c r="J6" t="s">
        <v>50</v>
      </c>
      <c r="K6" s="17" t="e">
        <f ca="1">SCORREL(A4:A18,B4:B18)</f>
        <v>#NAME?</v>
      </c>
    </row>
    <row r="7" spans="1:14" x14ac:dyDescent="0.35">
      <c r="A7" s="4">
        <v>48</v>
      </c>
      <c r="B7" s="4">
        <v>53</v>
      </c>
      <c r="D7" t="s">
        <v>51</v>
      </c>
      <c r="E7" s="18" t="e">
        <f ca="1">KCORREL(A4:A18,B4:B18)</f>
        <v>#NAME?</v>
      </c>
      <c r="J7" t="s">
        <v>51</v>
      </c>
      <c r="K7" s="18" t="e">
        <f ca="1">KCORREL(A4:A18,B4:B18)</f>
        <v>#NAME?</v>
      </c>
    </row>
    <row r="8" spans="1:14" x14ac:dyDescent="0.35">
      <c r="A8" s="4">
        <v>17</v>
      </c>
      <c r="B8" s="4">
        <v>85</v>
      </c>
    </row>
    <row r="9" spans="1:14" x14ac:dyDescent="0.35">
      <c r="A9" s="4">
        <v>8</v>
      </c>
      <c r="B9" s="4">
        <v>84</v>
      </c>
      <c r="D9" t="s">
        <v>52</v>
      </c>
      <c r="G9" t="s">
        <v>53</v>
      </c>
      <c r="J9" t="s">
        <v>52</v>
      </c>
      <c r="M9" t="s">
        <v>53</v>
      </c>
    </row>
    <row r="10" spans="1:14" x14ac:dyDescent="0.35">
      <c r="A10" s="4">
        <v>4</v>
      </c>
      <c r="B10" s="4">
        <v>73</v>
      </c>
    </row>
    <row r="11" spans="1:14" x14ac:dyDescent="0.35">
      <c r="A11" s="4">
        <v>26</v>
      </c>
      <c r="B11" s="4">
        <v>79</v>
      </c>
      <c r="D11" t="s">
        <v>54</v>
      </c>
      <c r="E11" s="16">
        <v>0.05</v>
      </c>
      <c r="G11" t="s">
        <v>55</v>
      </c>
      <c r="H11" s="16">
        <v>0</v>
      </c>
      <c r="J11" t="s">
        <v>54</v>
      </c>
      <c r="K11" s="16">
        <v>0.05</v>
      </c>
      <c r="M11" t="s">
        <v>55</v>
      </c>
      <c r="N11" s="16">
        <v>0</v>
      </c>
    </row>
    <row r="12" spans="1:14" x14ac:dyDescent="0.35">
      <c r="A12" s="4">
        <v>11</v>
      </c>
      <c r="B12" s="4">
        <v>81</v>
      </c>
      <c r="D12" t="s">
        <v>56</v>
      </c>
      <c r="E12" s="18">
        <v>1</v>
      </c>
      <c r="G12" t="s">
        <v>54</v>
      </c>
      <c r="H12" s="17">
        <v>0.05</v>
      </c>
      <c r="J12" t="s">
        <v>56</v>
      </c>
      <c r="K12" s="18">
        <v>2</v>
      </c>
      <c r="M12" t="s">
        <v>54</v>
      </c>
      <c r="N12" s="17">
        <v>0.05</v>
      </c>
    </row>
    <row r="13" spans="1:14" x14ac:dyDescent="0.35">
      <c r="A13" s="4">
        <v>19</v>
      </c>
      <c r="B13" s="4">
        <v>75</v>
      </c>
      <c r="G13" t="s">
        <v>56</v>
      </c>
      <c r="H13" s="18">
        <v>1</v>
      </c>
      <c r="M13" t="s">
        <v>56</v>
      </c>
      <c r="N13" s="18">
        <v>2</v>
      </c>
    </row>
    <row r="14" spans="1:14" x14ac:dyDescent="0.35">
      <c r="A14" s="4">
        <v>14</v>
      </c>
      <c r="B14" s="4">
        <v>68</v>
      </c>
      <c r="D14" t="s">
        <v>57</v>
      </c>
      <c r="E14" s="16">
        <f>E5</f>
        <v>-0.71343017438658085</v>
      </c>
      <c r="J14" t="s">
        <v>57</v>
      </c>
      <c r="K14" s="16">
        <f>K5</f>
        <v>-0.71343017438658085</v>
      </c>
    </row>
    <row r="15" spans="1:14" x14ac:dyDescent="0.35">
      <c r="A15" s="4">
        <v>35</v>
      </c>
      <c r="B15" s="4">
        <v>72</v>
      </c>
      <c r="D15" t="s">
        <v>58</v>
      </c>
      <c r="E15" s="17" t="e">
        <f ca="1">E14/E16</f>
        <v>#NAME?</v>
      </c>
      <c r="G15" t="s">
        <v>57</v>
      </c>
      <c r="H15" s="16">
        <f>E5</f>
        <v>-0.71343017438658085</v>
      </c>
      <c r="J15" t="s">
        <v>58</v>
      </c>
      <c r="K15" s="17" t="e">
        <f ca="1">K14/K16</f>
        <v>#NAME?</v>
      </c>
      <c r="M15" t="s">
        <v>57</v>
      </c>
      <c r="N15" s="16">
        <f>K5</f>
        <v>-0.71343017438658085</v>
      </c>
    </row>
    <row r="16" spans="1:14" x14ac:dyDescent="0.35">
      <c r="A16" s="4">
        <v>29</v>
      </c>
      <c r="B16" s="4">
        <v>58</v>
      </c>
      <c r="D16" t="e">
        <f t="array" aca="1" ref="D16:E19" ca="1">CorrelTTest(A4:A18,B4:B18,E11,TRUE,E12)</f>
        <v>#NAME?</v>
      </c>
      <c r="E16" s="17" t="e">
        <f ca="1"/>
        <v>#NAME?</v>
      </c>
      <c r="G16" t="s">
        <v>58</v>
      </c>
      <c r="H16" s="17" t="e">
        <f ca="1">1/SQRT(CountPairs(A4:A18,B4:B18,FALSE)-1)</f>
        <v>#NAME?</v>
      </c>
      <c r="J16" t="e">
        <f t="array" aca="1" ref="J16:K19" ca="1">CorrelTTest(A4:A18,B4:B18,K11,TRUE,K12)</f>
        <v>#NAME?</v>
      </c>
      <c r="K16" s="17" t="e">
        <f ca="1"/>
        <v>#NAME?</v>
      </c>
      <c r="M16" t="s">
        <v>58</v>
      </c>
      <c r="N16" s="17" t="e">
        <f ca="1">1/SQRT(CountPairs(A4:A18,B4:B18,FALSE)-1)</f>
        <v>#NAME?</v>
      </c>
    </row>
    <row r="17" spans="1:14" x14ac:dyDescent="0.35">
      <c r="A17" s="4">
        <v>4</v>
      </c>
      <c r="B17" s="4">
        <v>92</v>
      </c>
      <c r="D17" t="e">
        <f ca="1"/>
        <v>#NAME?</v>
      </c>
      <c r="E17" s="17" t="e">
        <f ca="1"/>
        <v>#NAME?</v>
      </c>
      <c r="G17" t="e">
        <f t="array" aca="1" ref="G17:H20" ca="1">CorrelTest(A4:A18,B4:B18,H11,H12,TRUE,E12)</f>
        <v>#NAME?</v>
      </c>
      <c r="H17" s="17" t="e">
        <f ca="1"/>
        <v>#NAME?</v>
      </c>
      <c r="J17" t="e">
        <f ca="1"/>
        <v>#NAME?</v>
      </c>
      <c r="K17" s="17" t="e">
        <f ca="1"/>
        <v>#NAME?</v>
      </c>
      <c r="M17" t="e">
        <f t="array" aca="1" ref="M17:N20" ca="1">CorrelTest(A4:A18,B4:B18,N11,N12,TRUE,K12)</f>
        <v>#NAME?</v>
      </c>
      <c r="N17" s="17" t="e">
        <f ca="1"/>
        <v>#NAME?</v>
      </c>
    </row>
    <row r="18" spans="1:14" x14ac:dyDescent="0.35">
      <c r="A18" s="15">
        <v>23</v>
      </c>
      <c r="B18" s="15">
        <v>65</v>
      </c>
      <c r="D18" t="e">
        <f ca="1"/>
        <v>#NAME?</v>
      </c>
      <c r="E18" s="17" t="e">
        <f ca="1"/>
        <v>#NAME?</v>
      </c>
      <c r="G18" t="e">
        <f ca="1"/>
        <v>#NAME?</v>
      </c>
      <c r="H18" s="17" t="e">
        <f ca="1"/>
        <v>#NAME?</v>
      </c>
      <c r="J18" t="e">
        <f ca="1"/>
        <v>#NAME?</v>
      </c>
      <c r="K18" s="17" t="e">
        <f ca="1"/>
        <v>#NAME?</v>
      </c>
      <c r="M18" t="e">
        <f ca="1"/>
        <v>#NAME?</v>
      </c>
      <c r="N18" s="17" t="e">
        <f ca="1"/>
        <v>#NAME?</v>
      </c>
    </row>
    <row r="19" spans="1:14" x14ac:dyDescent="0.35">
      <c r="D19" t="e">
        <f ca="1"/>
        <v>#NAME?</v>
      </c>
      <c r="E19" s="18" t="e">
        <f ca="1"/>
        <v>#NAME?</v>
      </c>
      <c r="G19" t="e">
        <f ca="1"/>
        <v>#NAME?</v>
      </c>
      <c r="H19" s="17" t="e">
        <f ca="1"/>
        <v>#NAME?</v>
      </c>
      <c r="J19" t="e">
        <f ca="1"/>
        <v>#NAME?</v>
      </c>
      <c r="K19" s="18" t="e">
        <f ca="1"/>
        <v>#NAME?</v>
      </c>
      <c r="M19" t="e">
        <f ca="1"/>
        <v>#NAME?</v>
      </c>
      <c r="N19" s="17" t="e">
        <f ca="1"/>
        <v>#NAME?</v>
      </c>
    </row>
    <row r="20" spans="1:14" x14ac:dyDescent="0.35">
      <c r="G20" t="e">
        <f ca="1"/>
        <v>#NAME?</v>
      </c>
      <c r="H20" s="18" t="e">
        <f ca="1"/>
        <v>#NAME?</v>
      </c>
      <c r="M20" t="e">
        <f ca="1"/>
        <v>#NAME?</v>
      </c>
      <c r="N20" s="18" t="e">
        <f ca="1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DCF4-5191-4F53-9C1B-2FB155946611}">
  <sheetPr codeName="Sheet58"/>
  <dimension ref="A1:O21"/>
  <sheetViews>
    <sheetView workbookViewId="0"/>
  </sheetViews>
  <sheetFormatPr defaultRowHeight="14.5" x14ac:dyDescent="0.35"/>
  <cols>
    <col min="1" max="1" width="8.26953125" customWidth="1"/>
    <col min="3" max="3" width="4.54296875" customWidth="1"/>
    <col min="4" max="4" width="9" customWidth="1"/>
    <col min="10" max="10" width="9.1796875" customWidth="1"/>
  </cols>
  <sheetData>
    <row r="1" spans="1:15" x14ac:dyDescent="0.35">
      <c r="A1" s="1" t="s">
        <v>59</v>
      </c>
    </row>
    <row r="3" spans="1:15" x14ac:dyDescent="0.35">
      <c r="A3" s="4" t="s">
        <v>8</v>
      </c>
      <c r="B3" s="19">
        <v>0.7</v>
      </c>
      <c r="D3" s="4" t="s">
        <v>9</v>
      </c>
      <c r="E3" s="19">
        <f>FISHER(B3)</f>
        <v>0.86730052769405319</v>
      </c>
    </row>
    <row r="4" spans="1:15" x14ac:dyDescent="0.35">
      <c r="A4" s="20" t="s">
        <v>10</v>
      </c>
      <c r="B4" s="9">
        <v>0.6</v>
      </c>
      <c r="D4" s="20" t="s">
        <v>15</v>
      </c>
      <c r="E4" s="9">
        <f>FISHER(B4)</f>
        <v>0.69314718055994529</v>
      </c>
    </row>
    <row r="5" spans="1:15" x14ac:dyDescent="0.35">
      <c r="A5" s="4"/>
    </row>
    <row r="6" spans="1:15" x14ac:dyDescent="0.35">
      <c r="A6" s="4" t="s">
        <v>12</v>
      </c>
      <c r="B6" s="19">
        <v>100</v>
      </c>
    </row>
    <row r="7" spans="1:15" ht="16.5" x14ac:dyDescent="0.45">
      <c r="A7" s="4" t="s">
        <v>13</v>
      </c>
      <c r="B7" s="9">
        <f>1/SQRT(B6-3)</f>
        <v>0.10153461651336192</v>
      </c>
    </row>
    <row r="9" spans="1:15" x14ac:dyDescent="0.35">
      <c r="A9" t="s">
        <v>60</v>
      </c>
      <c r="D9" t="s">
        <v>61</v>
      </c>
      <c r="G9" t="s">
        <v>62</v>
      </c>
      <c r="K9" t="s">
        <v>63</v>
      </c>
    </row>
    <row r="11" spans="1:15" x14ac:dyDescent="0.35">
      <c r="D11" t="s">
        <v>64</v>
      </c>
      <c r="E11" s="19">
        <f>B12</f>
        <v>0.05</v>
      </c>
      <c r="G11" t="s">
        <v>26</v>
      </c>
      <c r="H11" s="19" t="e">
        <f ca="1">CorrTest(B4,B3,B6)</f>
        <v>#NAME?</v>
      </c>
      <c r="K11" t="s">
        <v>65</v>
      </c>
      <c r="L11" t="s">
        <v>66</v>
      </c>
    </row>
    <row r="12" spans="1:15" x14ac:dyDescent="0.35">
      <c r="A12" t="s">
        <v>64</v>
      </c>
      <c r="B12" s="19">
        <v>0.05</v>
      </c>
      <c r="D12" t="s">
        <v>24</v>
      </c>
      <c r="E12" s="8">
        <f>(E3-E4)/B7</f>
        <v>1.7152115516306636</v>
      </c>
      <c r="G12" t="s">
        <v>64</v>
      </c>
      <c r="H12" s="8">
        <v>0.05</v>
      </c>
      <c r="K12" s="21">
        <v>34</v>
      </c>
      <c r="L12" s="22">
        <v>46</v>
      </c>
      <c r="N12" t="s">
        <v>8</v>
      </c>
      <c r="O12" s="23">
        <f>CORREL(K12:K18,L12:L18)</f>
        <v>0.9752921131375446</v>
      </c>
    </row>
    <row r="13" spans="1:15" x14ac:dyDescent="0.35">
      <c r="A13" t="s">
        <v>26</v>
      </c>
      <c r="B13" s="8">
        <f>2*(1-NORMDIST(E3,E4,B7,TRUE))</f>
        <v>8.6306447736500314E-2</v>
      </c>
      <c r="D13" t="s">
        <v>26</v>
      </c>
      <c r="E13" s="8">
        <f>2*(1-NORMSDIST(E12))</f>
        <v>8.6306447736500314E-2</v>
      </c>
      <c r="G13" t="s">
        <v>31</v>
      </c>
      <c r="H13" s="8" t="e">
        <f ca="1">CorrLower(B3,B6,H12)</f>
        <v>#NAME?</v>
      </c>
      <c r="K13" s="24">
        <v>56</v>
      </c>
      <c r="L13" s="25">
        <v>78</v>
      </c>
    </row>
    <row r="14" spans="1:15" x14ac:dyDescent="0.35">
      <c r="A14" t="s">
        <v>67</v>
      </c>
      <c r="B14" s="8">
        <f>NORMINV(1-B12/2,E4,B7)</f>
        <v>0.89215137211022044</v>
      </c>
      <c r="D14" t="s">
        <v>11</v>
      </c>
      <c r="E14" s="8">
        <f>NORMSINV(1-E11/2)</f>
        <v>1.9599639845400536</v>
      </c>
      <c r="G14" t="s">
        <v>32</v>
      </c>
      <c r="H14" s="9" t="e">
        <f ca="1">CorrUpper(B3,B6,H12)</f>
        <v>#NAME?</v>
      </c>
      <c r="K14" s="24">
        <v>23</v>
      </c>
      <c r="L14" s="25">
        <v>39</v>
      </c>
      <c r="N14" t="e">
        <f t="array" aca="1" ref="N14:O17" ca="1">CorrelTest(K12:K18,L12:L18,0.9,0.05,TRUE)</f>
        <v>#NAME?</v>
      </c>
      <c r="O14" s="19" t="e">
        <f ca="1"/>
        <v>#NAME?</v>
      </c>
    </row>
    <row r="15" spans="1:15" x14ac:dyDescent="0.35">
      <c r="A15" t="s">
        <v>28</v>
      </c>
      <c r="B15" s="13" t="str">
        <f>IF(B13&lt;B12,"yes","no")</f>
        <v>no</v>
      </c>
      <c r="D15" t="s">
        <v>28</v>
      </c>
      <c r="E15" s="13" t="str">
        <f>IF(E13&lt;E11,"yes","no")</f>
        <v>no</v>
      </c>
      <c r="K15" s="24">
        <v>12</v>
      </c>
      <c r="L15" s="25">
        <v>9</v>
      </c>
      <c r="N15" t="e">
        <f ca="1"/>
        <v>#NAME?</v>
      </c>
      <c r="O15" s="8" t="e">
        <f ca="1"/>
        <v>#NAME?</v>
      </c>
    </row>
    <row r="16" spans="1:15" x14ac:dyDescent="0.35">
      <c r="B16" s="14"/>
      <c r="E16" s="14"/>
      <c r="G16" t="e">
        <f t="array" aca="1" ref="G16:H19" ca="1">CorrelTest(B3,B6,B4,0.05,TRUE)</f>
        <v>#NAME?</v>
      </c>
      <c r="H16" s="19" t="e">
        <f ca="1"/>
        <v>#NAME?</v>
      </c>
      <c r="K16" s="24">
        <v>30</v>
      </c>
      <c r="L16" s="25">
        <v>39</v>
      </c>
      <c r="N16" t="e">
        <f ca="1"/>
        <v>#NAME?</v>
      </c>
      <c r="O16" s="8" t="e">
        <f ca="1"/>
        <v>#NAME?</v>
      </c>
    </row>
    <row r="17" spans="1:15" x14ac:dyDescent="0.35">
      <c r="A17" t="s">
        <v>5</v>
      </c>
      <c r="G17" t="e">
        <f ca="1"/>
        <v>#NAME?</v>
      </c>
      <c r="H17" s="8" t="e">
        <f ca="1"/>
        <v>#NAME?</v>
      </c>
      <c r="K17" s="24">
        <v>45</v>
      </c>
      <c r="L17" s="25">
        <v>71</v>
      </c>
      <c r="N17" t="e">
        <f ca="1"/>
        <v>#NAME?</v>
      </c>
      <c r="O17" s="9" t="e">
        <f ca="1"/>
        <v>#NAME?</v>
      </c>
    </row>
    <row r="18" spans="1:15" x14ac:dyDescent="0.35">
      <c r="G18" t="e">
        <f ca="1"/>
        <v>#NAME?</v>
      </c>
      <c r="H18" s="8" t="e">
        <f ca="1"/>
        <v>#NAME?</v>
      </c>
      <c r="K18" s="26">
        <v>29</v>
      </c>
      <c r="L18" s="27">
        <v>41</v>
      </c>
    </row>
    <row r="19" spans="1:15" x14ac:dyDescent="0.35">
      <c r="A19" t="s">
        <v>11</v>
      </c>
      <c r="B19" s="19">
        <f>ABS(NORMSINV(B12/2))</f>
        <v>1.9599639845400538</v>
      </c>
      <c r="G19" t="e">
        <f ca="1"/>
        <v>#NAME?</v>
      </c>
      <c r="H19" s="9" t="e">
        <f ca="1"/>
        <v>#NAME?</v>
      </c>
    </row>
    <row r="20" spans="1:15" x14ac:dyDescent="0.35">
      <c r="A20" t="s">
        <v>17</v>
      </c>
      <c r="B20" s="8">
        <f>E3-B19*B7</f>
        <v>0.66829633614377804</v>
      </c>
      <c r="D20" t="s">
        <v>21</v>
      </c>
      <c r="E20" s="19">
        <f>FISHERINV(B20)</f>
        <v>0.58385809839391167</v>
      </c>
    </row>
    <row r="21" spans="1:15" x14ac:dyDescent="0.35">
      <c r="A21" t="s">
        <v>19</v>
      </c>
      <c r="B21" s="9">
        <f>E3+B19*B7</f>
        <v>1.0663047192443282</v>
      </c>
      <c r="D21" t="s">
        <v>25</v>
      </c>
      <c r="E21" s="9">
        <f>FISHERINV(B21)</f>
        <v>0.78806495335730942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Corr 1</vt:lpstr>
      <vt:lpstr>Corr 1a</vt:lpstr>
      <vt:lpstr>Corr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2025-06-05T15:12:24Z</dcterms:created>
  <dcterms:modified xsi:type="dcterms:W3CDTF">2025-06-05T15:15:25Z</dcterms:modified>
</cp:coreProperties>
</file>