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0" documentId="8_{79E955C7-F796-41DA-86D5-61F40979A44B}" xr6:coauthVersionLast="47" xr6:coauthVersionMax="47" xr10:uidLastSave="{00000000-0000-0000-0000-000000000000}"/>
  <bookViews>
    <workbookView xWindow="-110" yWindow="-110" windowWidth="19420" windowHeight="10300" xr2:uid="{3B1C6A57-1B84-41DC-9EF6-8F47B24E4E23}"/>
  </bookViews>
  <sheets>
    <sheet name="Title" sheetId="2" r:id="rId1"/>
    <sheet name="AR 3" sheetId="1" r:id="rId2"/>
  </sheets>
  <externalReferences>
    <externalReference r:id="rId3"/>
    <externalReference r:id="rId4"/>
  </externalReferences>
  <definedNames>
    <definedName name="DataRange">#REF!</definedName>
    <definedName name="solver_adj" localSheetId="1" hidden="1">'AR 3'!$I$91:$J$93</definedName>
    <definedName name="solver_eng" localSheetId="1" hidden="1">1</definedName>
    <definedName name="solver_neg" localSheetId="1" hidden="1">2</definedName>
    <definedName name="solver_num" localSheetId="1" hidden="1">0</definedName>
    <definedName name="solver_opt" localSheetId="1" hidden="1">'AR 3'!$J$96</definedName>
    <definedName name="solver_typ" localSheetId="1" hidden="1">2</definedName>
    <definedName name="solver_val" localSheetId="1" hidden="1">0</definedName>
    <definedName name="solver_ver" localSheetId="1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0" i="1" l="1"/>
  <c r="V110" i="1" s="1"/>
  <c r="E109" i="1"/>
  <c r="V109" i="1" s="1"/>
  <c r="L105" i="1"/>
  <c r="L106" i="1" s="1"/>
  <c r="AD104" i="1"/>
  <c r="E104" i="1"/>
  <c r="V104" i="1" s="1"/>
  <c r="L103" i="1"/>
  <c r="L104" i="1" s="1"/>
  <c r="E102" i="1"/>
  <c r="E99" i="1"/>
  <c r="V99" i="1" s="1"/>
  <c r="AD98" i="1"/>
  <c r="E98" i="1"/>
  <c r="V98" i="1" s="1"/>
  <c r="AD95" i="1"/>
  <c r="U94" i="1"/>
  <c r="D94" i="1"/>
  <c r="D95" i="1" s="1"/>
  <c r="AD93" i="1"/>
  <c r="AC93" i="1"/>
  <c r="AC94" i="1" s="1"/>
  <c r="AC95" i="1" s="1"/>
  <c r="AC96" i="1" s="1"/>
  <c r="AC97" i="1" s="1"/>
  <c r="AC98" i="1" s="1"/>
  <c r="AC99" i="1" s="1"/>
  <c r="AC100" i="1" s="1"/>
  <c r="AC101" i="1" s="1"/>
  <c r="AC102" i="1" s="1"/>
  <c r="AC103" i="1" s="1"/>
  <c r="AC104" i="1" s="1"/>
  <c r="AC105" i="1" s="1"/>
  <c r="AC106" i="1" s="1"/>
  <c r="AC107" i="1" s="1"/>
  <c r="AC108" i="1" s="1"/>
  <c r="AC109" i="1" s="1"/>
  <c r="AC110" i="1" s="1"/>
  <c r="AC111" i="1" s="1"/>
  <c r="AC112" i="1" s="1"/>
  <c r="AC113" i="1" s="1"/>
  <c r="AC114" i="1" s="1"/>
  <c r="AC115" i="1" s="1"/>
  <c r="W93" i="1"/>
  <c r="U93" i="1"/>
  <c r="Q93" i="1"/>
  <c r="H93" i="1"/>
  <c r="E93" i="1"/>
  <c r="V93" i="1" s="1"/>
  <c r="X93" i="1" s="1"/>
  <c r="D93" i="1"/>
  <c r="AC92" i="1"/>
  <c r="W92" i="1"/>
  <c r="U92" i="1"/>
  <c r="Q92" i="1"/>
  <c r="H92" i="1"/>
  <c r="D92" i="1"/>
  <c r="W91" i="1"/>
  <c r="U91" i="1"/>
  <c r="Q91" i="1"/>
  <c r="AD81" i="1"/>
  <c r="AD80" i="1"/>
  <c r="E78" i="1"/>
  <c r="V78" i="1" s="1"/>
  <c r="L77" i="1"/>
  <c r="L76" i="1"/>
  <c r="E76" i="1"/>
  <c r="V76" i="1" s="1"/>
  <c r="AD75" i="1"/>
  <c r="L75" i="1"/>
  <c r="E75" i="1"/>
  <c r="L74" i="1"/>
  <c r="AD71" i="1"/>
  <c r="AD70" i="1"/>
  <c r="AD69" i="1"/>
  <c r="V69" i="1"/>
  <c r="AC66" i="1"/>
  <c r="AC67" i="1" s="1"/>
  <c r="AC68" i="1" s="1"/>
  <c r="AC69" i="1" s="1"/>
  <c r="AC70" i="1" s="1"/>
  <c r="AC71" i="1" s="1"/>
  <c r="AC72" i="1" s="1"/>
  <c r="AC73" i="1" s="1"/>
  <c r="AC74" i="1" s="1"/>
  <c r="AC75" i="1" s="1"/>
  <c r="AC76" i="1" s="1"/>
  <c r="AC77" i="1" s="1"/>
  <c r="AC78" i="1" s="1"/>
  <c r="AC79" i="1" s="1"/>
  <c r="AC80" i="1" s="1"/>
  <c r="AC81" i="1" s="1"/>
  <c r="AC82" i="1" s="1"/>
  <c r="AC83" i="1" s="1"/>
  <c r="AC84" i="1" s="1"/>
  <c r="AC85" i="1" s="1"/>
  <c r="AC86" i="1" s="1"/>
  <c r="U65" i="1"/>
  <c r="W64" i="1"/>
  <c r="U64" i="1"/>
  <c r="Q64" i="1"/>
  <c r="D64" i="1"/>
  <c r="D65" i="1" s="1"/>
  <c r="D66" i="1" s="1"/>
  <c r="AC63" i="1"/>
  <c r="AC64" i="1" s="1"/>
  <c r="AC65" i="1" s="1"/>
  <c r="W63" i="1"/>
  <c r="U63" i="1"/>
  <c r="Q63" i="1"/>
  <c r="H63" i="1"/>
  <c r="H64" i="1" s="1"/>
  <c r="D63" i="1"/>
  <c r="AD62" i="1"/>
  <c r="W62" i="1"/>
  <c r="U62" i="1"/>
  <c r="Q62" i="1"/>
  <c r="AD52" i="1"/>
  <c r="AD51" i="1"/>
  <c r="V51" i="1"/>
  <c r="AD49" i="1"/>
  <c r="L48" i="1"/>
  <c r="AD47" i="1"/>
  <c r="L47" i="1"/>
  <c r="AD46" i="1"/>
  <c r="E46" i="1"/>
  <c r="L45" i="1"/>
  <c r="L46" i="1" s="1"/>
  <c r="E44" i="1"/>
  <c r="V44" i="1" s="1"/>
  <c r="AD41" i="1"/>
  <c r="V41" i="1"/>
  <c r="E41" i="1"/>
  <c r="AD40" i="1"/>
  <c r="E40" i="1"/>
  <c r="V40" i="1" s="1"/>
  <c r="E38" i="1"/>
  <c r="V38" i="1" s="1"/>
  <c r="AC37" i="1"/>
  <c r="AC38" i="1" s="1"/>
  <c r="AC39" i="1" s="1"/>
  <c r="AC40" i="1" s="1"/>
  <c r="AC41" i="1" s="1"/>
  <c r="AC42" i="1" s="1"/>
  <c r="AC43" i="1" s="1"/>
  <c r="AC44" i="1" s="1"/>
  <c r="AC45" i="1" s="1"/>
  <c r="AC46" i="1" s="1"/>
  <c r="AC47" i="1" s="1"/>
  <c r="AC48" i="1" s="1"/>
  <c r="AC49" i="1" s="1"/>
  <c r="AC50" i="1" s="1"/>
  <c r="AC51" i="1" s="1"/>
  <c r="AC52" i="1" s="1"/>
  <c r="AC53" i="1" s="1"/>
  <c r="AC54" i="1" s="1"/>
  <c r="AC55" i="1" s="1"/>
  <c r="AC56" i="1" s="1"/>
  <c r="AC57" i="1" s="1"/>
  <c r="AC36" i="1"/>
  <c r="U36" i="1"/>
  <c r="I36" i="1"/>
  <c r="Q36" i="1" s="1"/>
  <c r="E36" i="1"/>
  <c r="D36" i="1"/>
  <c r="D37" i="1" s="1"/>
  <c r="W35" i="1"/>
  <c r="X35" i="1" s="1"/>
  <c r="U35" i="1"/>
  <c r="Q35" i="1"/>
  <c r="H35" i="1"/>
  <c r="E35" i="1"/>
  <c r="V35" i="1" s="1"/>
  <c r="AC34" i="1"/>
  <c r="AC35" i="1" s="1"/>
  <c r="W34" i="1"/>
  <c r="U34" i="1"/>
  <c r="Q34" i="1"/>
  <c r="H34" i="1"/>
  <c r="D34" i="1"/>
  <c r="D35" i="1" s="1"/>
  <c r="AD33" i="1"/>
  <c r="W33" i="1"/>
  <c r="U33" i="1"/>
  <c r="Q33" i="1"/>
  <c r="AD23" i="1"/>
  <c r="B23" i="1"/>
  <c r="E22" i="1"/>
  <c r="B22" i="1"/>
  <c r="E51" i="1" s="1"/>
  <c r="B21" i="1"/>
  <c r="AK22" i="1"/>
  <c r="AK21" i="1"/>
  <c r="AK20" i="1"/>
  <c r="AK20" i="1" a="1"/>
  <c r="AD20" i="1"/>
  <c r="E20" i="1"/>
  <c r="V20" i="1" s="1"/>
  <c r="B20" i="1"/>
  <c r="AD19" i="1"/>
  <c r="B19" i="1"/>
  <c r="V18" i="1"/>
  <c r="L18" i="1"/>
  <c r="L19" i="1" s="1"/>
  <c r="E18" i="1"/>
  <c r="B18" i="1"/>
  <c r="AD76" i="1" s="1"/>
  <c r="L17" i="1"/>
  <c r="B17" i="1"/>
  <c r="L16" i="1"/>
  <c r="B16" i="1"/>
  <c r="B15" i="1"/>
  <c r="B14" i="1"/>
  <c r="B13" i="1"/>
  <c r="AD12" i="1"/>
  <c r="V12" i="1"/>
  <c r="E12" i="1"/>
  <c r="B12" i="1"/>
  <c r="AD11" i="1"/>
  <c r="E11" i="1"/>
  <c r="B11" i="1"/>
  <c r="E69" i="1" s="1"/>
  <c r="B10" i="1"/>
  <c r="B9" i="1"/>
  <c r="AD8" i="1"/>
  <c r="AC8" i="1"/>
  <c r="AC9" i="1" s="1"/>
  <c r="AC10" i="1" s="1"/>
  <c r="AC11" i="1" s="1"/>
  <c r="AC12" i="1" s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U8" i="1"/>
  <c r="B8" i="1"/>
  <c r="AC7" i="1"/>
  <c r="U7" i="1"/>
  <c r="I7" i="1"/>
  <c r="Q7" i="1" s="1"/>
  <c r="D7" i="1"/>
  <c r="D8" i="1" s="1"/>
  <c r="D9" i="1" s="1"/>
  <c r="B7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W6" i="1"/>
  <c r="U6" i="1"/>
  <c r="Q6" i="1"/>
  <c r="H6" i="1"/>
  <c r="B6" i="1"/>
  <c r="AD5" i="1"/>
  <c r="AC5" i="1"/>
  <c r="AC6" i="1" s="1"/>
  <c r="W5" i="1"/>
  <c r="U5" i="1"/>
  <c r="Q5" i="1"/>
  <c r="H5" i="1"/>
  <c r="E5" i="1"/>
  <c r="V5" i="1" s="1"/>
  <c r="X5" i="1" s="1"/>
  <c r="D5" i="1"/>
  <c r="D6" i="1" s="1"/>
  <c r="B5" i="1"/>
  <c r="A5" i="1"/>
  <c r="A6" i="1" s="1"/>
  <c r="AD4" i="1"/>
  <c r="W4" i="1"/>
  <c r="U4" i="1"/>
  <c r="Q4" i="1"/>
  <c r="E4" i="1"/>
  <c r="V4" i="1" s="1"/>
  <c r="X4" i="1" s="1"/>
  <c r="B4" i="1"/>
  <c r="M44" i="1" a="1"/>
  <c r="M102" i="1" a="1"/>
  <c r="R36" i="1"/>
  <c r="R93" i="1"/>
  <c r="L91" i="1" a="1"/>
  <c r="R35" i="1"/>
  <c r="L33" i="1" a="1"/>
  <c r="R92" i="1"/>
  <c r="R34" i="1"/>
  <c r="R91" i="1"/>
  <c r="R33" i="1"/>
  <c r="R63" i="1"/>
  <c r="R7" i="1"/>
  <c r="L4" i="1" a="1"/>
  <c r="AF62" i="1" a="1"/>
  <c r="R62" i="1"/>
  <c r="AF6" i="1" a="1"/>
  <c r="R6" i="1"/>
  <c r="R5" i="1"/>
  <c r="M15" i="1" a="1"/>
  <c r="R4" i="1"/>
  <c r="L62" i="1" a="1"/>
  <c r="M73" i="1" a="1"/>
  <c r="R64" i="1"/>
  <c r="M77" i="1" l="1"/>
  <c r="M76" i="1"/>
  <c r="M75" i="1"/>
  <c r="M74" i="1"/>
  <c r="M73" i="1"/>
  <c r="N63" i="1"/>
  <c r="M63" i="1"/>
  <c r="L63" i="1"/>
  <c r="N62" i="1"/>
  <c r="M62" i="1"/>
  <c r="N64" i="1"/>
  <c r="M64" i="1"/>
  <c r="L64" i="1"/>
  <c r="L62" i="1"/>
  <c r="M19" i="1"/>
  <c r="M18" i="1"/>
  <c r="M17" i="1"/>
  <c r="M16" i="1"/>
  <c r="M15" i="1"/>
  <c r="AH22" i="1"/>
  <c r="AH19" i="1"/>
  <c r="AH16" i="1"/>
  <c r="AH13" i="1"/>
  <c r="AH10" i="1"/>
  <c r="AH7" i="1"/>
  <c r="AG22" i="1"/>
  <c r="AG19" i="1"/>
  <c r="AG16" i="1"/>
  <c r="AG13" i="1"/>
  <c r="AG10" i="1"/>
  <c r="AG7" i="1"/>
  <c r="AF22" i="1"/>
  <c r="AF19" i="1"/>
  <c r="AF16" i="1"/>
  <c r="AF13" i="1"/>
  <c r="AF10" i="1"/>
  <c r="AF7" i="1"/>
  <c r="AI21" i="1"/>
  <c r="AI18" i="1"/>
  <c r="AI15" i="1"/>
  <c r="AI12" i="1"/>
  <c r="AI9" i="1"/>
  <c r="AI6" i="1"/>
  <c r="AL10" i="1" s="1"/>
  <c r="AH21" i="1"/>
  <c r="AH18" i="1"/>
  <c r="AG21" i="1"/>
  <c r="AF17" i="1"/>
  <c r="AF12" i="1"/>
  <c r="AF8" i="1"/>
  <c r="AI17" i="1"/>
  <c r="AI13" i="1"/>
  <c r="AI8" i="1"/>
  <c r="AF21" i="1"/>
  <c r="AI16" i="1"/>
  <c r="AI11" i="1"/>
  <c r="AI7" i="1"/>
  <c r="AI20" i="1"/>
  <c r="AH15" i="1"/>
  <c r="AH11" i="1"/>
  <c r="AH6" i="1"/>
  <c r="AL14" i="1" s="1"/>
  <c r="AH20" i="1"/>
  <c r="AG15" i="1"/>
  <c r="AG11" i="1"/>
  <c r="AG6" i="1"/>
  <c r="AG20" i="1"/>
  <c r="AF15" i="1"/>
  <c r="AF11" i="1"/>
  <c r="AF6" i="1"/>
  <c r="AF20" i="1"/>
  <c r="AI14" i="1"/>
  <c r="AI10" i="1"/>
  <c r="AM16" i="1" s="1"/>
  <c r="AI19" i="1"/>
  <c r="AH14" i="1"/>
  <c r="AH9" i="1"/>
  <c r="AG18" i="1"/>
  <c r="AG14" i="1"/>
  <c r="AG9" i="1"/>
  <c r="AF18" i="1"/>
  <c r="AF14" i="1"/>
  <c r="AF9" i="1"/>
  <c r="AH17" i="1"/>
  <c r="AH12" i="1"/>
  <c r="AH8" i="1"/>
  <c r="AI22" i="1"/>
  <c r="AG17" i="1"/>
  <c r="AG12" i="1"/>
  <c r="AG8" i="1"/>
  <c r="AH78" i="1"/>
  <c r="AH75" i="1"/>
  <c r="AH72" i="1"/>
  <c r="AH69" i="1"/>
  <c r="AH66" i="1"/>
  <c r="AH63" i="1"/>
  <c r="AG78" i="1"/>
  <c r="AG75" i="1"/>
  <c r="AG72" i="1"/>
  <c r="AG69" i="1"/>
  <c r="AG66" i="1"/>
  <c r="AG63" i="1"/>
  <c r="AF78" i="1"/>
  <c r="AF75" i="1"/>
  <c r="AF72" i="1"/>
  <c r="AF69" i="1"/>
  <c r="AF66" i="1"/>
  <c r="AF63" i="1"/>
  <c r="AI77" i="1"/>
  <c r="AI74" i="1"/>
  <c r="AI71" i="1"/>
  <c r="AI68" i="1"/>
  <c r="AI65" i="1"/>
  <c r="AI62" i="1"/>
  <c r="AH77" i="1"/>
  <c r="AH74" i="1"/>
  <c r="AH71" i="1"/>
  <c r="AH68" i="1"/>
  <c r="AH65" i="1"/>
  <c r="AH62" i="1"/>
  <c r="AH73" i="1"/>
  <c r="AF68" i="1"/>
  <c r="AI63" i="1"/>
  <c r="AF74" i="1"/>
  <c r="AI69" i="1"/>
  <c r="AG64" i="1"/>
  <c r="AI78" i="1"/>
  <c r="AG73" i="1"/>
  <c r="AI67" i="1"/>
  <c r="AG62" i="1"/>
  <c r="AG77" i="1"/>
  <c r="AF73" i="1"/>
  <c r="AH67" i="1"/>
  <c r="AF62" i="1"/>
  <c r="AF77" i="1"/>
  <c r="AI72" i="1"/>
  <c r="AG67" i="1"/>
  <c r="AI76" i="1"/>
  <c r="AG71" i="1"/>
  <c r="AF67" i="1"/>
  <c r="AH76" i="1"/>
  <c r="AF71" i="1"/>
  <c r="AI66" i="1"/>
  <c r="AG76" i="1"/>
  <c r="AI70" i="1"/>
  <c r="AG65" i="1"/>
  <c r="AF76" i="1"/>
  <c r="AH70" i="1"/>
  <c r="AF65" i="1"/>
  <c r="AI75" i="1"/>
  <c r="AG70" i="1"/>
  <c r="AI64" i="1"/>
  <c r="AG74" i="1"/>
  <c r="AF70" i="1"/>
  <c r="AH64" i="1"/>
  <c r="AI73" i="1"/>
  <c r="AG68" i="1"/>
  <c r="AF64" i="1"/>
  <c r="M6" i="1"/>
  <c r="L6" i="1"/>
  <c r="N5" i="1"/>
  <c r="M5" i="1"/>
  <c r="M4" i="1"/>
  <c r="N6" i="1"/>
  <c r="L4" i="1"/>
  <c r="L5" i="1"/>
  <c r="N4" i="1"/>
  <c r="M33" i="1"/>
  <c r="L33" i="1"/>
  <c r="N35" i="1"/>
  <c r="M35" i="1"/>
  <c r="L35" i="1"/>
  <c r="N34" i="1"/>
  <c r="M34" i="1"/>
  <c r="L34" i="1"/>
  <c r="N33" i="1"/>
  <c r="M91" i="1"/>
  <c r="L91" i="1"/>
  <c r="N93" i="1"/>
  <c r="M93" i="1"/>
  <c r="L93" i="1"/>
  <c r="N92" i="1"/>
  <c r="M92" i="1"/>
  <c r="L92" i="1"/>
  <c r="N91" i="1"/>
  <c r="M106" i="1"/>
  <c r="M102" i="1"/>
  <c r="M104" i="1"/>
  <c r="M105" i="1"/>
  <c r="M103" i="1"/>
  <c r="M46" i="1"/>
  <c r="M48" i="1"/>
  <c r="M45" i="1"/>
  <c r="M44" i="1"/>
  <c r="M47" i="1"/>
  <c r="AD101" i="1"/>
  <c r="E72" i="1"/>
  <c r="E101" i="1"/>
  <c r="AD72" i="1"/>
  <c r="AD14" i="1"/>
  <c r="AD43" i="1"/>
  <c r="E14" i="1"/>
  <c r="V22" i="1"/>
  <c r="E43" i="1"/>
  <c r="V75" i="1"/>
  <c r="V11" i="1"/>
  <c r="E74" i="1"/>
  <c r="AD103" i="1"/>
  <c r="E45" i="1"/>
  <c r="AD74" i="1"/>
  <c r="AD16" i="1"/>
  <c r="E103" i="1"/>
  <c r="AD45" i="1"/>
  <c r="E16" i="1"/>
  <c r="E21" i="1"/>
  <c r="E50" i="1"/>
  <c r="AD50" i="1"/>
  <c r="AD79" i="1"/>
  <c r="AD108" i="1"/>
  <c r="E79" i="1"/>
  <c r="AD21" i="1"/>
  <c r="E108" i="1"/>
  <c r="V36" i="1"/>
  <c r="F38" i="1"/>
  <c r="W38" i="1" s="1"/>
  <c r="X38" i="1" s="1"/>
  <c r="U9" i="1"/>
  <c r="D10" i="1"/>
  <c r="AD65" i="1"/>
  <c r="E65" i="1"/>
  <c r="E94" i="1"/>
  <c r="AD94" i="1"/>
  <c r="E10" i="1"/>
  <c r="E39" i="1"/>
  <c r="AD97" i="1"/>
  <c r="AD39" i="1"/>
  <c r="E97" i="1"/>
  <c r="E68" i="1"/>
  <c r="AD10" i="1"/>
  <c r="AD106" i="1"/>
  <c r="E106" i="1"/>
  <c r="E48" i="1"/>
  <c r="AD77" i="1"/>
  <c r="X44" i="1"/>
  <c r="AD7" i="1"/>
  <c r="AD100" i="1"/>
  <c r="E13" i="1"/>
  <c r="E71" i="1"/>
  <c r="AD13" i="1"/>
  <c r="E19" i="1"/>
  <c r="E42" i="1"/>
  <c r="F44" i="1"/>
  <c r="W44" i="1" s="1"/>
  <c r="U95" i="1"/>
  <c r="D96" i="1"/>
  <c r="E7" i="1"/>
  <c r="AD67" i="1"/>
  <c r="E67" i="1"/>
  <c r="E9" i="1"/>
  <c r="AD38" i="1"/>
  <c r="AD9" i="1"/>
  <c r="AD96" i="1"/>
  <c r="AD36" i="1"/>
  <c r="D67" i="1"/>
  <c r="U66" i="1"/>
  <c r="E100" i="1"/>
  <c r="E92" i="1"/>
  <c r="V92" i="1" s="1"/>
  <c r="X92" i="1" s="1"/>
  <c r="AD92" i="1"/>
  <c r="AD63" i="1"/>
  <c r="E63" i="1"/>
  <c r="V63" i="1" s="1"/>
  <c r="X63" i="1" s="1"/>
  <c r="AD34" i="1"/>
  <c r="E34" i="1"/>
  <c r="V34" i="1" s="1"/>
  <c r="X34" i="1" s="1"/>
  <c r="F12" i="1"/>
  <c r="W12" i="1" s="1"/>
  <c r="X12" i="1" s="1"/>
  <c r="X20" i="1"/>
  <c r="AD42" i="1"/>
  <c r="V46" i="1"/>
  <c r="F46" i="1"/>
  <c r="W46" i="1" s="1"/>
  <c r="F20" i="1"/>
  <c r="W20" i="1" s="1"/>
  <c r="E81" i="1"/>
  <c r="E52" i="1"/>
  <c r="E23" i="1"/>
  <c r="AD110" i="1"/>
  <c r="D38" i="1"/>
  <c r="U37" i="1"/>
  <c r="AD68" i="1"/>
  <c r="E77" i="1"/>
  <c r="AD48" i="1"/>
  <c r="E96" i="1"/>
  <c r="V102" i="1"/>
  <c r="F110" i="1"/>
  <c r="W110" i="1" s="1"/>
  <c r="X110" i="1" s="1"/>
  <c r="AD66" i="1"/>
  <c r="E37" i="1"/>
  <c r="E66" i="1"/>
  <c r="AD73" i="1"/>
  <c r="AD102" i="1"/>
  <c r="AD15" i="1"/>
  <c r="E15" i="1"/>
  <c r="E47" i="1"/>
  <c r="E73" i="1"/>
  <c r="F76" i="1" s="1"/>
  <c r="W76" i="1" s="1"/>
  <c r="X76" i="1" s="1"/>
  <c r="E62" i="1"/>
  <c r="V62" i="1" s="1"/>
  <c r="X62" i="1" s="1"/>
  <c r="E33" i="1"/>
  <c r="V33" i="1" s="1"/>
  <c r="X33" i="1" s="1"/>
  <c r="E8" i="1"/>
  <c r="AD107" i="1"/>
  <c r="E49" i="1"/>
  <c r="E107" i="1"/>
  <c r="AD78" i="1"/>
  <c r="E91" i="1"/>
  <c r="V91" i="1" s="1"/>
  <c r="X91" i="1" s="1"/>
  <c r="E95" i="1"/>
  <c r="F109" i="1"/>
  <c r="W109" i="1" s="1"/>
  <c r="X109" i="1" s="1"/>
  <c r="E105" i="1"/>
  <c r="AD18" i="1"/>
  <c r="AD105" i="1"/>
  <c r="AD37" i="1"/>
  <c r="AD44" i="1"/>
  <c r="AD91" i="1"/>
  <c r="AD64" i="1"/>
  <c r="E64" i="1"/>
  <c r="V64" i="1" s="1"/>
  <c r="X64" i="1" s="1"/>
  <c r="E6" i="1"/>
  <c r="V6" i="1" s="1"/>
  <c r="X6" i="1" s="1"/>
  <c r="AD6" i="1"/>
  <c r="AD99" i="1"/>
  <c r="E70" i="1"/>
  <c r="AD17" i="1"/>
  <c r="E17" i="1"/>
  <c r="AD22" i="1"/>
  <c r="AD35" i="1"/>
  <c r="E80" i="1"/>
  <c r="AD109" i="1"/>
  <c r="AR20" i="1"/>
  <c r="AR21" i="1"/>
  <c r="AR22" i="1"/>
  <c r="AL19" i="1" a="1"/>
  <c r="AM19" i="1" l="1"/>
  <c r="AL19" i="1"/>
  <c r="AL22" i="1"/>
  <c r="AM22" i="1"/>
  <c r="AM21" i="1"/>
  <c r="AL21" i="1"/>
  <c r="AM20" i="1"/>
  <c r="AL20" i="1"/>
  <c r="AL16" i="1"/>
  <c r="AL15" i="1" s="1"/>
  <c r="AP21" i="1" s="1"/>
  <c r="F70" i="1"/>
  <c r="W70" i="1" s="1"/>
  <c r="V70" i="1"/>
  <c r="V49" i="1"/>
  <c r="F49" i="1"/>
  <c r="W49" i="1" s="1"/>
  <c r="V100" i="1"/>
  <c r="F100" i="1"/>
  <c r="W100" i="1" s="1"/>
  <c r="F67" i="1"/>
  <c r="W67" i="1" s="1"/>
  <c r="V67" i="1"/>
  <c r="X67" i="1" s="1"/>
  <c r="F71" i="1"/>
  <c r="W71" i="1" s="1"/>
  <c r="V71" i="1"/>
  <c r="X71" i="1" s="1"/>
  <c r="V105" i="1"/>
  <c r="X105" i="1" s="1"/>
  <c r="F105" i="1"/>
  <c r="W105" i="1" s="1"/>
  <c r="F47" i="1"/>
  <c r="W47" i="1" s="1"/>
  <c r="V47" i="1"/>
  <c r="X47" i="1" s="1"/>
  <c r="X46" i="1"/>
  <c r="F13" i="1"/>
  <c r="W13" i="1" s="1"/>
  <c r="V13" i="1"/>
  <c r="X13" i="1" s="1"/>
  <c r="F68" i="1"/>
  <c r="W68" i="1" s="1"/>
  <c r="V68" i="1"/>
  <c r="X68" i="1" s="1"/>
  <c r="V14" i="1"/>
  <c r="F14" i="1"/>
  <c r="W14" i="1" s="1"/>
  <c r="AN21" i="1"/>
  <c r="F8" i="1"/>
  <c r="W8" i="1" s="1"/>
  <c r="V8" i="1"/>
  <c r="X8" i="1" s="1"/>
  <c r="F15" i="1"/>
  <c r="W15" i="1" s="1"/>
  <c r="V15" i="1"/>
  <c r="X15" i="1" s="1"/>
  <c r="D68" i="1"/>
  <c r="U67" i="1"/>
  <c r="V7" i="1"/>
  <c r="J17" i="1"/>
  <c r="Q8" i="1" s="1"/>
  <c r="J18" i="1"/>
  <c r="J19" i="1"/>
  <c r="F7" i="1"/>
  <c r="F97" i="1"/>
  <c r="W97" i="1" s="1"/>
  <c r="V97" i="1"/>
  <c r="X97" i="1" s="1"/>
  <c r="J48" i="1"/>
  <c r="F50" i="1"/>
  <c r="W50" i="1" s="1"/>
  <c r="V50" i="1"/>
  <c r="F80" i="1"/>
  <c r="W80" i="1" s="1"/>
  <c r="V80" i="1"/>
  <c r="F77" i="1"/>
  <c r="W77" i="1" s="1"/>
  <c r="V77" i="1"/>
  <c r="X77" i="1" s="1"/>
  <c r="J46" i="1"/>
  <c r="Q37" i="1" s="1"/>
  <c r="F16" i="1"/>
  <c r="W16" i="1" s="1"/>
  <c r="V16" i="1"/>
  <c r="X16" i="1" s="1"/>
  <c r="F99" i="1"/>
  <c r="W99" i="1" s="1"/>
  <c r="X99" i="1" s="1"/>
  <c r="V23" i="1"/>
  <c r="F23" i="1"/>
  <c r="W23" i="1" s="1"/>
  <c r="U96" i="1"/>
  <c r="D97" i="1"/>
  <c r="V39" i="1"/>
  <c r="F39" i="1"/>
  <c r="W39" i="1" s="1"/>
  <c r="J47" i="1"/>
  <c r="V101" i="1"/>
  <c r="F104" i="1"/>
  <c r="W104" i="1" s="1"/>
  <c r="X104" i="1" s="1"/>
  <c r="F101" i="1"/>
  <c r="W101" i="1" s="1"/>
  <c r="V66" i="1"/>
  <c r="F66" i="1"/>
  <c r="W66" i="1" s="1"/>
  <c r="F69" i="1"/>
  <c r="W69" i="1" s="1"/>
  <c r="X69" i="1" s="1"/>
  <c r="F102" i="1"/>
  <c r="W102" i="1" s="1"/>
  <c r="X102" i="1" s="1"/>
  <c r="F52" i="1"/>
  <c r="W52" i="1" s="1"/>
  <c r="V52" i="1"/>
  <c r="F10" i="1"/>
  <c r="W10" i="1" s="1"/>
  <c r="V10" i="1"/>
  <c r="X10" i="1" s="1"/>
  <c r="V103" i="1"/>
  <c r="F103" i="1"/>
  <c r="W103" i="1" s="1"/>
  <c r="V72" i="1"/>
  <c r="X72" i="1" s="1"/>
  <c r="F72" i="1"/>
  <c r="W72" i="1" s="1"/>
  <c r="F37" i="1"/>
  <c r="W37" i="1" s="1"/>
  <c r="V37" i="1"/>
  <c r="X37" i="1" s="1"/>
  <c r="V96" i="1"/>
  <c r="F96" i="1"/>
  <c r="W96" i="1" s="1"/>
  <c r="V81" i="1"/>
  <c r="F81" i="1"/>
  <c r="W81" i="1" s="1"/>
  <c r="F40" i="1"/>
  <c r="W40" i="1" s="1"/>
  <c r="X40" i="1" s="1"/>
  <c r="F18" i="1"/>
  <c r="W18" i="1" s="1"/>
  <c r="X18" i="1" s="1"/>
  <c r="V95" i="1"/>
  <c r="F95" i="1"/>
  <c r="W95" i="1" s="1"/>
  <c r="F41" i="1"/>
  <c r="W41" i="1" s="1"/>
  <c r="X41" i="1" s="1"/>
  <c r="J105" i="1"/>
  <c r="V94" i="1"/>
  <c r="J106" i="1"/>
  <c r="F94" i="1"/>
  <c r="J104" i="1"/>
  <c r="Q94" i="1" s="1"/>
  <c r="R94" i="1" s="1"/>
  <c r="S94" i="1" s="1"/>
  <c r="V108" i="1"/>
  <c r="F108" i="1"/>
  <c r="W108" i="1" s="1"/>
  <c r="X75" i="1"/>
  <c r="AQ22" i="1"/>
  <c r="AN22" i="1"/>
  <c r="AO22" i="1" s="1"/>
  <c r="F51" i="1"/>
  <c r="W51" i="1" s="1"/>
  <c r="X51" i="1" s="1"/>
  <c r="V42" i="1"/>
  <c r="F42" i="1"/>
  <c r="W42" i="1" s="1"/>
  <c r="V48" i="1"/>
  <c r="F48" i="1"/>
  <c r="W48" i="1" s="1"/>
  <c r="J77" i="1"/>
  <c r="V65" i="1"/>
  <c r="F65" i="1"/>
  <c r="J75" i="1"/>
  <c r="Q65" i="1" s="1"/>
  <c r="J76" i="1"/>
  <c r="D11" i="1"/>
  <c r="U10" i="1"/>
  <c r="F45" i="1"/>
  <c r="W45" i="1" s="1"/>
  <c r="V45" i="1"/>
  <c r="X45" i="1" s="1"/>
  <c r="F75" i="1"/>
  <c r="W75" i="1" s="1"/>
  <c r="V17" i="1"/>
  <c r="F17" i="1"/>
  <c r="W17" i="1" s="1"/>
  <c r="D39" i="1"/>
  <c r="U38" i="1"/>
  <c r="V19" i="1"/>
  <c r="F19" i="1"/>
  <c r="W19" i="1" s="1"/>
  <c r="V106" i="1"/>
  <c r="F106" i="1"/>
  <c r="W106" i="1" s="1"/>
  <c r="F79" i="1"/>
  <c r="W79" i="1" s="1"/>
  <c r="V79" i="1"/>
  <c r="V43" i="1"/>
  <c r="F43" i="1"/>
  <c r="W43" i="1" s="1"/>
  <c r="V107" i="1"/>
  <c r="F107" i="1"/>
  <c r="W107" i="1" s="1"/>
  <c r="F78" i="1"/>
  <c r="W78" i="1" s="1"/>
  <c r="X78" i="1" s="1"/>
  <c r="V9" i="1"/>
  <c r="F9" i="1"/>
  <c r="W9" i="1" s="1"/>
  <c r="V74" i="1"/>
  <c r="F74" i="1"/>
  <c r="W74" i="1" s="1"/>
  <c r="F22" i="1"/>
  <c r="W22" i="1" s="1"/>
  <c r="X22" i="1" s="1"/>
  <c r="V73" i="1"/>
  <c r="F73" i="1"/>
  <c r="W73" i="1" s="1"/>
  <c r="F98" i="1"/>
  <c r="W98" i="1" s="1"/>
  <c r="X98" i="1" s="1"/>
  <c r="F36" i="1"/>
  <c r="V21" i="1"/>
  <c r="F21" i="1"/>
  <c r="W21" i="1" s="1"/>
  <c r="F11" i="1"/>
  <c r="W11" i="1" s="1"/>
  <c r="X11" i="1" s="1"/>
  <c r="AQ20" i="1"/>
  <c r="AN20" i="1"/>
  <c r="AO20" i="1" s="1"/>
  <c r="AP20" i="1"/>
  <c r="AM14" i="1"/>
  <c r="AM15" i="1" l="1"/>
  <c r="AN15" i="1" s="1"/>
  <c r="AL9" i="1" s="1"/>
  <c r="AQ19" i="1"/>
  <c r="AN19" i="1"/>
  <c r="AO19" i="1" s="1"/>
  <c r="AO21" i="1"/>
  <c r="U97" i="1"/>
  <c r="D98" i="1"/>
  <c r="X74" i="1"/>
  <c r="X111" i="1"/>
  <c r="X108" i="1"/>
  <c r="X95" i="1"/>
  <c r="X103" i="1"/>
  <c r="R8" i="1"/>
  <c r="S8" i="1" s="1"/>
  <c r="X14" i="1"/>
  <c r="X43" i="1"/>
  <c r="X42" i="1"/>
  <c r="J101" i="1"/>
  <c r="J102" i="1"/>
  <c r="W94" i="1"/>
  <c r="X94" i="1" s="1"/>
  <c r="J96" i="1"/>
  <c r="J103" i="1" s="1"/>
  <c r="X24" i="1"/>
  <c r="X21" i="1"/>
  <c r="X23" i="1"/>
  <c r="R65" i="1"/>
  <c r="S65" i="1" s="1"/>
  <c r="X17" i="1"/>
  <c r="X48" i="1"/>
  <c r="X66" i="1"/>
  <c r="X7" i="1"/>
  <c r="X9" i="1"/>
  <c r="X82" i="1"/>
  <c r="X79" i="1"/>
  <c r="X80" i="1"/>
  <c r="S92" i="1"/>
  <c r="J111" i="1"/>
  <c r="J108" i="1" s="1"/>
  <c r="S91" i="1"/>
  <c r="J110" i="1"/>
  <c r="J112" i="1" s="1"/>
  <c r="S93" i="1"/>
  <c r="J109" i="1"/>
  <c r="D69" i="1"/>
  <c r="U68" i="1"/>
  <c r="W36" i="1"/>
  <c r="X36" i="1" s="1"/>
  <c r="J43" i="1"/>
  <c r="J44" i="1"/>
  <c r="J38" i="1"/>
  <c r="J45" i="1" s="1"/>
  <c r="U11" i="1"/>
  <c r="D12" i="1"/>
  <c r="X81" i="1"/>
  <c r="X53" i="1"/>
  <c r="X50" i="1"/>
  <c r="X106" i="1"/>
  <c r="X96" i="1"/>
  <c r="X101" i="1"/>
  <c r="J52" i="1"/>
  <c r="S33" i="1"/>
  <c r="J54" i="1"/>
  <c r="X100" i="1"/>
  <c r="X107" i="1"/>
  <c r="X19" i="1"/>
  <c r="J73" i="1"/>
  <c r="J72" i="1"/>
  <c r="J67" i="1"/>
  <c r="J74" i="1" s="1"/>
  <c r="W65" i="1"/>
  <c r="X65" i="1" s="1"/>
  <c r="AP19" i="1"/>
  <c r="X52" i="1"/>
  <c r="AQ21" i="1"/>
  <c r="X49" i="1"/>
  <c r="X73" i="1"/>
  <c r="AL7" i="1"/>
  <c r="AN14" i="1"/>
  <c r="D40" i="1"/>
  <c r="U39" i="1"/>
  <c r="S63" i="1"/>
  <c r="J81" i="1"/>
  <c r="J83" i="1" s="1"/>
  <c r="S62" i="1"/>
  <c r="J80" i="1"/>
  <c r="J82" i="1" s="1"/>
  <c r="J79" i="1" s="1"/>
  <c r="S64" i="1"/>
  <c r="AP22" i="1"/>
  <c r="X39" i="1"/>
  <c r="R37" i="1"/>
  <c r="S37" i="1" s="1"/>
  <c r="J9" i="1"/>
  <c r="J16" i="1" s="1"/>
  <c r="J14" i="1"/>
  <c r="J15" i="1"/>
  <c r="W7" i="1"/>
  <c r="X70" i="1"/>
  <c r="AO8" i="1"/>
  <c r="AO14" i="1" l="1"/>
  <c r="AP14" i="1" s="1"/>
  <c r="AQ14" i="1" s="1"/>
  <c r="AO6" i="1"/>
  <c r="AO7" i="1" s="1"/>
  <c r="Z65" i="1"/>
  <c r="AA65" i="1"/>
  <c r="D13" i="1"/>
  <c r="U12" i="1"/>
  <c r="J51" i="1"/>
  <c r="J53" i="1" s="1"/>
  <c r="J50" i="1" s="1"/>
  <c r="Z7" i="1"/>
  <c r="AA7" i="1"/>
  <c r="Z96" i="1"/>
  <c r="AA96" i="1"/>
  <c r="AA50" i="1"/>
  <c r="Y18" i="1"/>
  <c r="Y20" i="1"/>
  <c r="Y28" i="1"/>
  <c r="Y26" i="1"/>
  <c r="Y8" i="1"/>
  <c r="Y24" i="1"/>
  <c r="AA24" i="1" s="1"/>
  <c r="Y15" i="1"/>
  <c r="Y23" i="1"/>
  <c r="Z23" i="1" s="1"/>
  <c r="Y13" i="1"/>
  <c r="Y27" i="1"/>
  <c r="Y21" i="1"/>
  <c r="Z21" i="1" s="1"/>
  <c r="Y19" i="1"/>
  <c r="Y25" i="1"/>
  <c r="Y6" i="1"/>
  <c r="Y10" i="1"/>
  <c r="Y5" i="1"/>
  <c r="Y16" i="1"/>
  <c r="Y14" i="1"/>
  <c r="Y4" i="1"/>
  <c r="Y17" i="1"/>
  <c r="Y11" i="1"/>
  <c r="Y22" i="1"/>
  <c r="Y12" i="1"/>
  <c r="Y7" i="1"/>
  <c r="Y9" i="1"/>
  <c r="AA9" i="1" s="1"/>
  <c r="U40" i="1"/>
  <c r="D41" i="1"/>
  <c r="S6" i="1"/>
  <c r="U98" i="1"/>
  <c r="D99" i="1"/>
  <c r="Z19" i="1"/>
  <c r="AA19" i="1"/>
  <c r="Z79" i="1"/>
  <c r="J23" i="1"/>
  <c r="J25" i="1" s="1"/>
  <c r="Z39" i="1"/>
  <c r="AA39" i="1"/>
  <c r="AL6" i="1"/>
  <c r="AL8" i="1"/>
  <c r="Y56" i="1"/>
  <c r="Y43" i="1"/>
  <c r="AA43" i="1" s="1"/>
  <c r="Y34" i="1"/>
  <c r="Y53" i="1"/>
  <c r="AA53" i="1" s="1"/>
  <c r="Y40" i="1"/>
  <c r="Y36" i="1"/>
  <c r="AA36" i="1" s="1"/>
  <c r="Y52" i="1"/>
  <c r="Z52" i="1" s="1"/>
  <c r="Y46" i="1"/>
  <c r="Y42" i="1"/>
  <c r="Y48" i="1"/>
  <c r="Y37" i="1"/>
  <c r="Y44" i="1"/>
  <c r="Y38" i="1"/>
  <c r="Y41" i="1"/>
  <c r="Y57" i="1"/>
  <c r="Y33" i="1"/>
  <c r="Y55" i="1"/>
  <c r="Y35" i="1"/>
  <c r="Y49" i="1"/>
  <c r="Y47" i="1"/>
  <c r="Y45" i="1"/>
  <c r="Y54" i="1"/>
  <c r="Y51" i="1"/>
  <c r="Y50" i="1"/>
  <c r="Z50" i="1" s="1"/>
  <c r="Y39" i="1"/>
  <c r="AD82" i="1"/>
  <c r="S5" i="1"/>
  <c r="AA73" i="1"/>
  <c r="Z73" i="1"/>
  <c r="AA103" i="1"/>
  <c r="Z103" i="1"/>
  <c r="AA101" i="1"/>
  <c r="Z101" i="1"/>
  <c r="AA95" i="1"/>
  <c r="AA49" i="1"/>
  <c r="Z49" i="1"/>
  <c r="AA108" i="1"/>
  <c r="AA48" i="1"/>
  <c r="Z48" i="1"/>
  <c r="AD111" i="1"/>
  <c r="X114" i="1"/>
  <c r="X112" i="1"/>
  <c r="X113" i="1"/>
  <c r="X83" i="1"/>
  <c r="AA17" i="1"/>
  <c r="Z17" i="1"/>
  <c r="Z42" i="1"/>
  <c r="AA42" i="1"/>
  <c r="AA70" i="1"/>
  <c r="AD53" i="1"/>
  <c r="X54" i="1"/>
  <c r="Z80" i="1"/>
  <c r="AA80" i="1"/>
  <c r="AA23" i="1"/>
  <c r="S34" i="1"/>
  <c r="X84" i="1"/>
  <c r="X85" i="1" s="1"/>
  <c r="D70" i="1"/>
  <c r="U69" i="1"/>
  <c r="S7" i="1"/>
  <c r="Y75" i="1"/>
  <c r="Y71" i="1"/>
  <c r="Y70" i="1"/>
  <c r="Z70" i="1" s="1"/>
  <c r="Y69" i="1"/>
  <c r="Y68" i="1"/>
  <c r="Y67" i="1"/>
  <c r="Y77" i="1"/>
  <c r="Y81" i="1"/>
  <c r="Y80" i="1"/>
  <c r="Y79" i="1"/>
  <c r="AA79" i="1" s="1"/>
  <c r="Y78" i="1"/>
  <c r="Y76" i="1"/>
  <c r="Y83" i="1"/>
  <c r="Y85" i="1"/>
  <c r="Y86" i="1"/>
  <c r="Y64" i="1"/>
  <c r="Y63" i="1"/>
  <c r="Y82" i="1"/>
  <c r="AA82" i="1" s="1"/>
  <c r="Y74" i="1"/>
  <c r="AA74" i="1" s="1"/>
  <c r="Y65" i="1"/>
  <c r="Y62" i="1"/>
  <c r="Y73" i="1"/>
  <c r="Y72" i="1"/>
  <c r="Y84" i="1"/>
  <c r="Y66" i="1"/>
  <c r="Z66" i="1" s="1"/>
  <c r="S35" i="1"/>
  <c r="Z81" i="1"/>
  <c r="AA81" i="1"/>
  <c r="J22" i="1"/>
  <c r="J24" i="1" s="1"/>
  <c r="J21" i="1" s="1"/>
  <c r="AD24" i="1"/>
  <c r="Z24" i="1"/>
  <c r="X25" i="1"/>
  <c r="S36" i="1"/>
  <c r="S4" i="1"/>
  <c r="Y115" i="1"/>
  <c r="Y102" i="1"/>
  <c r="Y93" i="1"/>
  <c r="Y113" i="1"/>
  <c r="Y94" i="1"/>
  <c r="AA94" i="1" s="1"/>
  <c r="Y96" i="1"/>
  <c r="Y95" i="1"/>
  <c r="Z95" i="1" s="1"/>
  <c r="Y99" i="1"/>
  <c r="Y91" i="1"/>
  <c r="Y109" i="1"/>
  <c r="Y100" i="1"/>
  <c r="AA100" i="1" s="1"/>
  <c r="Y112" i="1"/>
  <c r="Y110" i="1"/>
  <c r="Y103" i="1"/>
  <c r="Y101" i="1"/>
  <c r="Y97" i="1"/>
  <c r="Y107" i="1"/>
  <c r="AA107" i="1" s="1"/>
  <c r="Y105" i="1"/>
  <c r="Y92" i="1"/>
  <c r="Y114" i="1"/>
  <c r="Y98" i="1"/>
  <c r="Y108" i="1"/>
  <c r="Z108" i="1" s="1"/>
  <c r="Y111" i="1"/>
  <c r="AA111" i="1" s="1"/>
  <c r="Y104" i="1"/>
  <c r="Y106" i="1"/>
  <c r="AA106" i="1" s="1"/>
  <c r="AA14" i="1"/>
  <c r="Z14" i="1"/>
  <c r="AA85" i="1" l="1"/>
  <c r="AD85" i="1"/>
  <c r="Z85" i="1"/>
  <c r="Z77" i="1"/>
  <c r="AA77" i="1"/>
  <c r="AA114" i="1"/>
  <c r="Z114" i="1"/>
  <c r="AD114" i="1"/>
  <c r="AA47" i="1"/>
  <c r="Z47" i="1"/>
  <c r="D42" i="1"/>
  <c r="U41" i="1"/>
  <c r="AA10" i="1"/>
  <c r="Z10" i="1"/>
  <c r="Z110" i="1"/>
  <c r="AA110" i="1"/>
  <c r="Z82" i="1"/>
  <c r="Z33" i="1"/>
  <c r="AA33" i="1"/>
  <c r="Z12" i="1"/>
  <c r="AA12" i="1"/>
  <c r="AA104" i="1"/>
  <c r="Z104" i="1"/>
  <c r="AA71" i="1"/>
  <c r="Z71" i="1"/>
  <c r="AA34" i="1"/>
  <c r="Z34" i="1"/>
  <c r="AA22" i="1"/>
  <c r="Z22" i="1"/>
  <c r="AA75" i="1"/>
  <c r="Z75" i="1"/>
  <c r="AA54" i="1"/>
  <c r="AD54" i="1"/>
  <c r="Z54" i="1"/>
  <c r="X55" i="1"/>
  <c r="Z41" i="1"/>
  <c r="AA41" i="1"/>
  <c r="AA11" i="1"/>
  <c r="Z11" i="1"/>
  <c r="AA13" i="1"/>
  <c r="Z13" i="1"/>
  <c r="AA109" i="1"/>
  <c r="Z109" i="1"/>
  <c r="Z43" i="1"/>
  <c r="Z76" i="1"/>
  <c r="AA76" i="1"/>
  <c r="AA21" i="1"/>
  <c r="X56" i="1"/>
  <c r="Z83" i="1"/>
  <c r="AD83" i="1"/>
  <c r="AA83" i="1"/>
  <c r="X86" i="1"/>
  <c r="Z38" i="1"/>
  <c r="AA38" i="1"/>
  <c r="U99" i="1"/>
  <c r="D100" i="1"/>
  <c r="AA98" i="1"/>
  <c r="Z98" i="1"/>
  <c r="AA91" i="1"/>
  <c r="Z91" i="1"/>
  <c r="AA72" i="1"/>
  <c r="Z72" i="1"/>
  <c r="Z78" i="1"/>
  <c r="AA78" i="1"/>
  <c r="Z53" i="1"/>
  <c r="AA52" i="1"/>
  <c r="AA66" i="1"/>
  <c r="Z9" i="1"/>
  <c r="Z44" i="1"/>
  <c r="AA44" i="1"/>
  <c r="Z107" i="1"/>
  <c r="AA4" i="1"/>
  <c r="Z4" i="1"/>
  <c r="Z15" i="1"/>
  <c r="AA15" i="1"/>
  <c r="Z99" i="1"/>
  <c r="AA99" i="1"/>
  <c r="AA25" i="1"/>
  <c r="Z25" i="1"/>
  <c r="AD25" i="1"/>
  <c r="X26" i="1"/>
  <c r="AA51" i="1"/>
  <c r="Z51" i="1"/>
  <c r="AA37" i="1"/>
  <c r="Z37" i="1"/>
  <c r="Z92" i="1"/>
  <c r="AA92" i="1"/>
  <c r="Z62" i="1"/>
  <c r="AA62" i="1"/>
  <c r="AA113" i="1"/>
  <c r="AD113" i="1"/>
  <c r="Z113" i="1"/>
  <c r="Z36" i="1"/>
  <c r="Z100" i="1"/>
  <c r="Z106" i="1"/>
  <c r="Z16" i="1"/>
  <c r="AA16" i="1"/>
  <c r="AA8" i="1"/>
  <c r="Z8" i="1"/>
  <c r="AA105" i="1"/>
  <c r="Z105" i="1"/>
  <c r="U70" i="1"/>
  <c r="D71" i="1"/>
  <c r="X115" i="1"/>
  <c r="AA112" i="1"/>
  <c r="Z112" i="1"/>
  <c r="AD112" i="1"/>
  <c r="AA45" i="1"/>
  <c r="Z45" i="1"/>
  <c r="AA5" i="1"/>
  <c r="Z5" i="1"/>
  <c r="D14" i="1"/>
  <c r="U13" i="1"/>
  <c r="AD84" i="1"/>
  <c r="AA84" i="1"/>
  <c r="Z84" i="1"/>
  <c r="Z46" i="1"/>
  <c r="AA46" i="1"/>
  <c r="AA97" i="1"/>
  <c r="Z97" i="1"/>
  <c r="AA67" i="1"/>
  <c r="Z67" i="1"/>
  <c r="Z74" i="1"/>
  <c r="AA6" i="1"/>
  <c r="Z6" i="1"/>
  <c r="Z20" i="1"/>
  <c r="AA20" i="1"/>
  <c r="AA93" i="1"/>
  <c r="Z93" i="1"/>
  <c r="AA63" i="1"/>
  <c r="Z63" i="1"/>
  <c r="AA68" i="1"/>
  <c r="Z68" i="1"/>
  <c r="Z111" i="1"/>
  <c r="AA35" i="1"/>
  <c r="Z35" i="1"/>
  <c r="AA18" i="1"/>
  <c r="Z18" i="1"/>
  <c r="Z94" i="1"/>
  <c r="Z102" i="1"/>
  <c r="AA102" i="1"/>
  <c r="AA64" i="1"/>
  <c r="Z64" i="1"/>
  <c r="AA69" i="1"/>
  <c r="Z69" i="1"/>
  <c r="AA40" i="1"/>
  <c r="Z40" i="1"/>
  <c r="AD56" i="1" l="1"/>
  <c r="Z56" i="1"/>
  <c r="AA56" i="1"/>
  <c r="AD55" i="1"/>
  <c r="AA55" i="1"/>
  <c r="Z55" i="1"/>
  <c r="AD115" i="1"/>
  <c r="AA115" i="1"/>
  <c r="Z115" i="1"/>
  <c r="AD26" i="1"/>
  <c r="Z26" i="1"/>
  <c r="AA26" i="1"/>
  <c r="U42" i="1"/>
  <c r="D43" i="1"/>
  <c r="U71" i="1"/>
  <c r="D72" i="1"/>
  <c r="X57" i="1"/>
  <c r="U100" i="1"/>
  <c r="D101" i="1"/>
  <c r="U14" i="1"/>
  <c r="D15" i="1"/>
  <c r="X27" i="1"/>
  <c r="AD86" i="1"/>
  <c r="AA86" i="1"/>
  <c r="Z86" i="1"/>
  <c r="Z27" i="1" l="1"/>
  <c r="AD27" i="1"/>
  <c r="AA27" i="1"/>
  <c r="X28" i="1"/>
  <c r="D16" i="1"/>
  <c r="U15" i="1"/>
  <c r="D102" i="1"/>
  <c r="U101" i="1"/>
  <c r="AD57" i="1"/>
  <c r="Z57" i="1"/>
  <c r="AA57" i="1"/>
  <c r="U72" i="1"/>
  <c r="D73" i="1"/>
  <c r="D44" i="1"/>
  <c r="U43" i="1"/>
  <c r="U102" i="1" l="1"/>
  <c r="D103" i="1"/>
  <c r="U16" i="1"/>
  <c r="D17" i="1"/>
  <c r="Z28" i="1"/>
  <c r="AD28" i="1"/>
  <c r="AA28" i="1"/>
  <c r="D45" i="1"/>
  <c r="U44" i="1"/>
  <c r="D74" i="1"/>
  <c r="U73" i="1"/>
  <c r="D18" i="1" l="1"/>
  <c r="U17" i="1"/>
  <c r="D104" i="1"/>
  <c r="U103" i="1"/>
  <c r="U74" i="1"/>
  <c r="D75" i="1"/>
  <c r="U45" i="1"/>
  <c r="D46" i="1"/>
  <c r="U46" i="1" l="1"/>
  <c r="D47" i="1"/>
  <c r="U75" i="1"/>
  <c r="D76" i="1"/>
  <c r="U104" i="1"/>
  <c r="D105" i="1"/>
  <c r="D19" i="1"/>
  <c r="U18" i="1"/>
  <c r="D20" i="1" l="1"/>
  <c r="U19" i="1"/>
  <c r="U105" i="1"/>
  <c r="D106" i="1"/>
  <c r="U76" i="1"/>
  <c r="D77" i="1"/>
  <c r="D48" i="1"/>
  <c r="U47" i="1"/>
  <c r="D49" i="1" l="1"/>
  <c r="U48" i="1"/>
  <c r="U77" i="1"/>
  <c r="D78" i="1"/>
  <c r="U106" i="1"/>
  <c r="D107" i="1"/>
  <c r="U20" i="1"/>
  <c r="D21" i="1"/>
  <c r="U21" i="1" l="1"/>
  <c r="D22" i="1"/>
  <c r="U107" i="1"/>
  <c r="D108" i="1"/>
  <c r="U78" i="1"/>
  <c r="D79" i="1"/>
  <c r="D50" i="1"/>
  <c r="U49" i="1"/>
  <c r="U50" i="1" l="1"/>
  <c r="D51" i="1"/>
  <c r="D80" i="1"/>
  <c r="U79" i="1"/>
  <c r="U108" i="1"/>
  <c r="D109" i="1"/>
  <c r="D23" i="1"/>
  <c r="U23" i="1" s="1"/>
  <c r="U24" i="1" s="1"/>
  <c r="U25" i="1" s="1"/>
  <c r="U26" i="1" s="1"/>
  <c r="U27" i="1" s="1"/>
  <c r="U28" i="1" s="1"/>
  <c r="U22" i="1"/>
  <c r="U109" i="1" l="1"/>
  <c r="D110" i="1"/>
  <c r="U110" i="1" s="1"/>
  <c r="U111" i="1" s="1"/>
  <c r="U112" i="1" s="1"/>
  <c r="U113" i="1" s="1"/>
  <c r="U114" i="1" s="1"/>
  <c r="U115" i="1" s="1"/>
  <c r="U80" i="1"/>
  <c r="D81" i="1"/>
  <c r="U81" i="1" s="1"/>
  <c r="U82" i="1" s="1"/>
  <c r="U83" i="1" s="1"/>
  <c r="U84" i="1" s="1"/>
  <c r="U85" i="1" s="1"/>
  <c r="U86" i="1" s="1"/>
  <c r="U51" i="1"/>
  <c r="D52" i="1"/>
  <c r="U52" i="1" s="1"/>
  <c r="U53" i="1" s="1"/>
  <c r="U54" i="1" s="1"/>
  <c r="U55" i="1" s="1"/>
  <c r="U56" i="1" s="1"/>
  <c r="U57" i="1" s="1"/>
</calcChain>
</file>

<file path=xl/sharedStrings.xml><?xml version="1.0" encoding="utf-8"?>
<sst xmlns="http://schemas.openxmlformats.org/spreadsheetml/2006/main" count="279" uniqueCount="86">
  <si>
    <t>AR(3) Model</t>
  </si>
  <si>
    <t>ARIMA Model (AR-oriented)</t>
  </si>
  <si>
    <t>Model statistics</t>
  </si>
  <si>
    <t>Phi roots</t>
  </si>
  <si>
    <t>Model parameters</t>
  </si>
  <si>
    <t>Forecast (reduced)</t>
  </si>
  <si>
    <t>Forecast</t>
  </si>
  <si>
    <t>Alpha</t>
  </si>
  <si>
    <t>Data</t>
  </si>
  <si>
    <t>time</t>
  </si>
  <si>
    <t>data</t>
  </si>
  <si>
    <t>residual</t>
  </si>
  <si>
    <t>index</t>
  </si>
  <si>
    <t>phi</t>
  </si>
  <si>
    <t>theta</t>
  </si>
  <si>
    <t>real</t>
  </si>
  <si>
    <t>imag</t>
  </si>
  <si>
    <t>abs val</t>
  </si>
  <si>
    <t>param</t>
  </si>
  <si>
    <t>value</t>
  </si>
  <si>
    <t>stat</t>
  </si>
  <si>
    <t>p-value</t>
  </si>
  <si>
    <t>pred</t>
  </si>
  <si>
    <t>s.e.</t>
  </si>
  <si>
    <t>lower</t>
  </si>
  <si>
    <t>upper</t>
  </si>
  <si>
    <t>forecast</t>
  </si>
  <si>
    <t>Reformat</t>
  </si>
  <si>
    <t>Regression Analysis</t>
  </si>
  <si>
    <t>phi 1</t>
  </si>
  <si>
    <t>phi 2</t>
  </si>
  <si>
    <t>x1</t>
  </si>
  <si>
    <t>x2</t>
  </si>
  <si>
    <t>x3</t>
  </si>
  <si>
    <t>y</t>
  </si>
  <si>
    <t>OVERALL FIT</t>
  </si>
  <si>
    <t>phi 3</t>
  </si>
  <si>
    <t>Multiple R</t>
  </si>
  <si>
    <t>AIC</t>
  </si>
  <si>
    <t>const</t>
  </si>
  <si>
    <t>R Square</t>
  </si>
  <si>
    <t>AICc</t>
  </si>
  <si>
    <t>Theta roots</t>
  </si>
  <si>
    <t>mean</t>
  </si>
  <si>
    <t>Adjusted R Square</t>
  </si>
  <si>
    <t>SBC</t>
  </si>
  <si>
    <t>SSE</t>
  </si>
  <si>
    <t>Standard Error</t>
  </si>
  <si>
    <t>converge</t>
  </si>
  <si>
    <t>yes</t>
  </si>
  <si>
    <t>Observations</t>
  </si>
  <si>
    <t>p</t>
  </si>
  <si>
    <t>q</t>
  </si>
  <si>
    <t>Psi coefficients</t>
  </si>
  <si>
    <t>ANOVA</t>
  </si>
  <si>
    <t>d</t>
  </si>
  <si>
    <t>df</t>
  </si>
  <si>
    <t>SS</t>
  </si>
  <si>
    <t>MS</t>
  </si>
  <si>
    <t>F</t>
  </si>
  <si>
    <t>sig</t>
  </si>
  <si>
    <t>res mean</t>
  </si>
  <si>
    <t>psi</t>
  </si>
  <si>
    <t>Regression</t>
  </si>
  <si>
    <t>res s.d.</t>
  </si>
  <si>
    <t>Residual</t>
  </si>
  <si>
    <t>sqrt mse</t>
  </si>
  <si>
    <t>Total</t>
  </si>
  <si>
    <t>data mean</t>
  </si>
  <si>
    <t>data s.d.</t>
  </si>
  <si>
    <t>coeff</t>
  </si>
  <si>
    <t>std err</t>
  </si>
  <si>
    <t>t stat</t>
  </si>
  <si>
    <t>vif</t>
  </si>
  <si>
    <t>size</t>
  </si>
  <si>
    <t>Intercept</t>
  </si>
  <si>
    <t>LL</t>
  </si>
  <si>
    <t>BIC</t>
  </si>
  <si>
    <t>AIC aug</t>
  </si>
  <si>
    <t>BIC aug</t>
  </si>
  <si>
    <t>ARIMA Model (non-AR oriented)</t>
  </si>
  <si>
    <t>ARIMA Model (AR oriented)</t>
  </si>
  <si>
    <t>Real Statistics Using Excel</t>
  </si>
  <si>
    <t>Updated</t>
  </si>
  <si>
    <t>Copyright © 2013 - 2025 Charles Zaiontz</t>
  </si>
  <si>
    <t>ARMA Tool Options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</si>
</sst>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3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15" fontId="0" fillId="0" borderId="0" xfId="0" applyNumberFormat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8f5cd2f1f925cfd/Documenti/A%20Real%20Statistics%202020/Examples/Real%20Statistics%20Time%20Series%20Examples%204%20March%202022.xlsx" TargetMode="External"/><Relationship Id="rId1" Type="http://schemas.openxmlformats.org/officeDocument/2006/relationships/externalLinkPath" Target="/38f5cd2f1f925cfd/Documenti/A%20Real%20Statistics%202020/Examples/Real%20Statistics%20Time%20Series%20Examples%204%20March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harles\AppData\Roaming\Microsoft\AddIns\XRealStatsX.xlam" TargetMode="External"/><Relationship Id="rId1" Type="http://schemas.openxmlformats.org/officeDocument/2006/relationships/externalLinkPath" Target="file:///C:\Users\Charles\AppData\Roaming\Microsoft\AddIns\XRealStatsX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Error"/>
      <sheetName val="DM"/>
      <sheetName val="PT"/>
      <sheetName val="Moving"/>
      <sheetName val="Moving 1"/>
      <sheetName val="Moving 1a"/>
      <sheetName val="Weighted"/>
      <sheetName val="Weighted 2"/>
      <sheetName val="Exp"/>
      <sheetName val="Exp 1"/>
      <sheetName val="Exp 1a"/>
      <sheetName val="Exp 2"/>
      <sheetName val="Exp 3"/>
      <sheetName val="Holt"/>
      <sheetName val="Holt 2"/>
      <sheetName val="Holt 3"/>
      <sheetName val="Holt 4"/>
      <sheetName val="Holt 5"/>
      <sheetName val="Holt-Winter"/>
      <sheetName val="Holt-Winter 1"/>
      <sheetName val="Holt-Winter 2"/>
      <sheetName val="Holt-Winter 3"/>
      <sheetName val="Holt-Winters 4"/>
      <sheetName val="Holt-Winters 4a"/>
      <sheetName val="Holt-Winters 5"/>
      <sheetName val="HoltWinters 6"/>
      <sheetName val="Stationary"/>
      <sheetName val="ACF 0"/>
      <sheetName val="ACF"/>
      <sheetName val="PACF 1"/>
      <sheetName val="Correlogram"/>
      <sheetName val="WN 1"/>
      <sheetName val="RW 1"/>
      <sheetName val="RW 1a"/>
      <sheetName val="DT 1"/>
      <sheetName val="DT 1a"/>
      <sheetName val="Test 1"/>
      <sheetName val="Test 2"/>
      <sheetName val="DF 0"/>
      <sheetName val="DF 1"/>
      <sheetName val="DF 2"/>
      <sheetName val="ADF"/>
      <sheetName val="PP KPSS"/>
      <sheetName val="Sheet2"/>
      <sheetName val="Missing 1"/>
      <sheetName val="Missing 2"/>
      <sheetName val="Missing 3"/>
      <sheetName val="Missing 4"/>
      <sheetName val="AR 1"/>
      <sheetName val="AR 1a"/>
      <sheetName val="AR 1b"/>
      <sheetName val="AR 1c"/>
      <sheetName val="AR 1d"/>
      <sheetName val="AR 2"/>
      <sheetName val="AR 2a"/>
      <sheetName val="AR 2b"/>
      <sheetName val="AR 2c"/>
      <sheetName val="AR 2d"/>
      <sheetName val="AR 3"/>
      <sheetName val="AR 4"/>
      <sheetName val="MA"/>
      <sheetName val="MA 1"/>
      <sheetName val="MA 2"/>
      <sheetName val="MA 3"/>
      <sheetName val="MA 4"/>
      <sheetName val="MA 5"/>
      <sheetName val="MA 6"/>
      <sheetName val="MA 7"/>
      <sheetName val="MA 8"/>
      <sheetName val="ARMA 1.1"/>
      <sheetName val="ARMA 1.1a"/>
      <sheetName val="ARMA 1.1b"/>
      <sheetName val="ARMA 1.1c"/>
      <sheetName val="ARMA 1.1d"/>
      <sheetName val="ARMA 1.1dd"/>
      <sheetName val="ARMA 1.1e"/>
      <sheetName val="ARMA 1.1ee"/>
      <sheetName val="Sheet6"/>
      <sheetName val="ARMA 1.1f"/>
      <sheetName val="ARMA 2.1"/>
      <sheetName val="ARMA 2.2"/>
      <sheetName val="Diff"/>
      <sheetName val="ARIMA 1"/>
      <sheetName val="ARIMA 1a"/>
      <sheetName val="ARIMA 2"/>
      <sheetName val="ARIMA 2a"/>
      <sheetName val="ARIMA 3"/>
      <sheetName val="ARIMA 3a"/>
      <sheetName val="SARIMA"/>
      <sheetName val="SARIMA 1"/>
      <sheetName val="MK"/>
      <sheetName val="Sen"/>
      <sheetName val="MK Tool"/>
      <sheetName val="MK + Sen"/>
      <sheetName val="Granger 1"/>
      <sheetName val="Granger 2"/>
      <sheetName val="Granger 3"/>
      <sheetName val="Granger 4"/>
      <sheetName val="Engle"/>
      <sheetName val="Cross"/>
      <sheetName val="ARIMAX"/>
      <sheetName val="ARIMAX 1"/>
      <sheetName val="Crime"/>
      <sheetName val="Diff 2"/>
      <sheetName val="Demean 2"/>
      <sheetName val="Diff 3"/>
      <sheetName val="Demean 3"/>
      <sheetName val="LSDV"/>
      <sheetName val="REM"/>
      <sheetName val="Markov"/>
      <sheetName val="Markov 1"/>
      <sheetName val="ADF Table"/>
      <sheetName val="EG Table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4">
          <cell r="C4">
            <v>4.5267574698597484</v>
          </cell>
        </row>
        <row r="5">
          <cell r="C5">
            <v>6.893370777512497</v>
          </cell>
        </row>
        <row r="6">
          <cell r="C6">
            <v>8.4253951175675805</v>
          </cell>
        </row>
        <row r="7">
          <cell r="C7">
            <v>6.999502086988997</v>
          </cell>
        </row>
        <row r="8">
          <cell r="C8">
            <v>6.1875941616300834</v>
          </cell>
        </row>
        <row r="9">
          <cell r="C9">
            <v>5.8129764708798239</v>
          </cell>
        </row>
        <row r="10">
          <cell r="C10">
            <v>7.1200726875188378</v>
          </cell>
        </row>
        <row r="11">
          <cell r="C11">
            <v>8.5019149332741044</v>
          </cell>
        </row>
        <row r="12">
          <cell r="C12">
            <v>7.3012221051820614</v>
          </cell>
        </row>
        <row r="13">
          <cell r="C13">
            <v>6.0388768293832715</v>
          </cell>
        </row>
        <row r="14">
          <cell r="C14">
            <v>4.7460896891377891</v>
          </cell>
        </row>
        <row r="15">
          <cell r="C15">
            <v>6.6536767183588417</v>
          </cell>
        </row>
        <row r="16">
          <cell r="C16">
            <v>8.1939759194869595</v>
          </cell>
        </row>
        <row r="17">
          <cell r="C17">
            <v>7.5602635334693442</v>
          </cell>
        </row>
        <row r="18">
          <cell r="C18">
            <v>6.794451297136205</v>
          </cell>
        </row>
        <row r="19">
          <cell r="C19">
            <v>4.7244665351583883</v>
          </cell>
        </row>
        <row r="20">
          <cell r="C20">
            <v>6.0271551265385801</v>
          </cell>
        </row>
        <row r="21">
          <cell r="C21">
            <v>7.1259100258620851</v>
          </cell>
        </row>
        <row r="22">
          <cell r="C22">
            <v>7.1912478294921529</v>
          </cell>
        </row>
        <row r="23">
          <cell r="C23">
            <v>6.6826916383449895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fig"/>
      <sheetName val="Wilcoxon Table"/>
      <sheetName val="Mann Table"/>
      <sheetName val="Runs Table"/>
      <sheetName val="KS Table"/>
      <sheetName val="KS2 Table"/>
      <sheetName val="Lil Table"/>
      <sheetName val="AD Table"/>
      <sheetName val="AD2 Table"/>
      <sheetName val="SW Table"/>
      <sheetName val="Stud. Q Table"/>
      <sheetName val="Stud. Q Table 2"/>
      <sheetName val="Sp Rho Table"/>
      <sheetName val="Ken Tau Table"/>
      <sheetName val="Durbin Table"/>
      <sheetName val="Dunnett Table"/>
      <sheetName val="Dunnett 1"/>
      <sheetName val="Kendall Tc"/>
      <sheetName val="Kendall u"/>
      <sheetName val="Page Table"/>
      <sheetName val="Prime"/>
      <sheetName val="MSSD"/>
      <sheetName val="Dict"/>
      <sheetName val="ADict"/>
      <sheetName val="L4 2"/>
      <sheetName val="L8 2"/>
      <sheetName val="L8 42"/>
      <sheetName val="L9 3"/>
      <sheetName val="L12 2"/>
      <sheetName val="L16 2"/>
      <sheetName val="L16 4"/>
      <sheetName val="L16 42a"/>
      <sheetName val="L18 23"/>
      <sheetName val="L18 63"/>
      <sheetName val="L25 5"/>
      <sheetName val="L27 3"/>
      <sheetName val="L32 2"/>
      <sheetName val="L32 24"/>
      <sheetName val="L36 23a"/>
      <sheetName val="L36 23b"/>
      <sheetName val="L50 25"/>
      <sheetName val="L54 23"/>
      <sheetName val="L64 4"/>
      <sheetName val="T2"/>
      <sheetName val="T3"/>
      <sheetName val="T4"/>
    </sheetNames>
    <definedNames>
      <definedName name="ARMA_SSE"/>
      <definedName name="ARMap"/>
      <definedName name="ARRoots"/>
      <definedName name="DEsign"/>
      <definedName name="PSICoeff"/>
      <definedName name="RegCoeff"/>
      <definedName name="VIF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59646-0A6D-4AE1-AF74-A1C64E07D361}">
  <dimension ref="A1:M10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13" x14ac:dyDescent="0.35">
      <c r="A1" t="s">
        <v>82</v>
      </c>
    </row>
    <row r="2" spans="1:13" x14ac:dyDescent="0.35">
      <c r="A2" t="s">
        <v>85</v>
      </c>
    </row>
    <row r="4" spans="1:13" x14ac:dyDescent="0.35">
      <c r="A4" t="s">
        <v>83</v>
      </c>
      <c r="B4" s="14">
        <v>45689</v>
      </c>
    </row>
    <row r="6" spans="1:13" x14ac:dyDescent="0.35">
      <c r="A6" s="15" t="s">
        <v>84</v>
      </c>
    </row>
    <row r="10" spans="1:13" ht="18.5" x14ac:dyDescent="0.45">
      <c r="M10" s="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CFA2C-DBF0-4BE0-A168-F37D5B16EE65}">
  <dimension ref="A1:AR115"/>
  <sheetViews>
    <sheetView workbookViewId="0"/>
  </sheetViews>
  <sheetFormatPr defaultRowHeight="14.5" x14ac:dyDescent="0.35"/>
  <cols>
    <col min="1" max="1" width="5.26953125" style="2" customWidth="1"/>
    <col min="3" max="3" width="4.81640625" customWidth="1"/>
    <col min="4" max="31" width="9.1796875" customWidth="1"/>
    <col min="36" max="36" width="3.453125" customWidth="1"/>
    <col min="37" max="37" width="17.54296875" customWidth="1"/>
  </cols>
  <sheetData>
    <row r="1" spans="1:43" x14ac:dyDescent="0.35">
      <c r="A1" s="1" t="s">
        <v>0</v>
      </c>
      <c r="D1" t="s">
        <v>1</v>
      </c>
      <c r="H1" t="s">
        <v>2</v>
      </c>
      <c r="L1" t="s">
        <v>3</v>
      </c>
      <c r="P1" t="s">
        <v>4</v>
      </c>
      <c r="U1" t="s">
        <v>5</v>
      </c>
      <c r="AC1" t="s">
        <v>6</v>
      </c>
    </row>
    <row r="2" spans="1:43" ht="15" thickBot="1" x14ac:dyDescent="0.4">
      <c r="X2" t="s">
        <v>7</v>
      </c>
      <c r="Y2">
        <v>0.05</v>
      </c>
    </row>
    <row r="3" spans="1:43" ht="15" thickTop="1" x14ac:dyDescent="0.35">
      <c r="B3" s="3" t="s">
        <v>8</v>
      </c>
      <c r="D3" s="4" t="s">
        <v>9</v>
      </c>
      <c r="E3" s="4" t="s">
        <v>10</v>
      </c>
      <c r="F3" s="4" t="s">
        <v>11</v>
      </c>
      <c r="H3" s="4" t="s">
        <v>12</v>
      </c>
      <c r="I3" s="4" t="s">
        <v>13</v>
      </c>
      <c r="J3" s="4" t="s">
        <v>14</v>
      </c>
      <c r="L3" s="4" t="s">
        <v>15</v>
      </c>
      <c r="M3" s="4" t="s">
        <v>16</v>
      </c>
      <c r="N3" s="4" t="s">
        <v>17</v>
      </c>
      <c r="P3" s="4" t="s">
        <v>18</v>
      </c>
      <c r="Q3" s="4" t="s">
        <v>19</v>
      </c>
      <c r="R3" s="4" t="s">
        <v>20</v>
      </c>
      <c r="S3" s="4" t="s">
        <v>21</v>
      </c>
      <c r="U3" s="4" t="s">
        <v>9</v>
      </c>
      <c r="V3" s="4" t="s">
        <v>10</v>
      </c>
      <c r="W3" s="4" t="s">
        <v>11</v>
      </c>
      <c r="X3" s="4" t="s">
        <v>22</v>
      </c>
      <c r="Y3" s="4" t="s">
        <v>23</v>
      </c>
      <c r="Z3" s="4" t="s">
        <v>24</v>
      </c>
      <c r="AA3" s="4" t="s">
        <v>25</v>
      </c>
      <c r="AC3" s="4" t="s">
        <v>9</v>
      </c>
      <c r="AD3" s="4" t="s">
        <v>26</v>
      </c>
      <c r="AF3" t="s">
        <v>27</v>
      </c>
      <c r="AK3" t="s">
        <v>28</v>
      </c>
    </row>
    <row r="4" spans="1:43" ht="15" thickBot="1" x14ac:dyDescent="0.4">
      <c r="A4" s="2">
        <v>1</v>
      </c>
      <c r="B4">
        <f>'[1]AR 2'!C4</f>
        <v>4.5267574698597484</v>
      </c>
      <c r="D4">
        <v>1</v>
      </c>
      <c r="E4">
        <f>B4-J$7</f>
        <v>-2.1583413073564648</v>
      </c>
      <c r="F4">
        <v>0</v>
      </c>
      <c r="H4" s="2">
        <v>3</v>
      </c>
      <c r="I4">
        <v>-0.44465412867337695</v>
      </c>
      <c r="J4">
        <v>0</v>
      </c>
      <c r="L4">
        <f t="array" ref="L4:N6">[2]!ARRoots(I4:I6)</f>
        <v>0.40005345469561676</v>
      </c>
      <c r="M4">
        <v>-1.0379367747971453</v>
      </c>
      <c r="N4">
        <v>1.112364830031136</v>
      </c>
      <c r="P4" t="s">
        <v>29</v>
      </c>
      <c r="Q4">
        <f>I6</f>
        <v>9.6431296663486391E-2</v>
      </c>
      <c r="R4">
        <f>[2]!ARMA_SSE(E4:E23,Q4:Q6,,0,1)</f>
        <v>5.2407027077553909</v>
      </c>
      <c r="S4">
        <f>CHIDIST(J19*(LN(R4)-LN(J9)),1)</f>
        <v>0.43360223032831707</v>
      </c>
      <c r="U4">
        <f>D4</f>
        <v>1</v>
      </c>
      <c r="V4">
        <f>E4</f>
        <v>-2.1583413073564648</v>
      </c>
      <c r="W4">
        <f>F4</f>
        <v>0</v>
      </c>
      <c r="X4">
        <f>V4-W4</f>
        <v>-2.1583413073564648</v>
      </c>
      <c r="Y4">
        <f>J$16</f>
        <v>0.62357834832295367</v>
      </c>
      <c r="Z4">
        <f>X4-NORMSINV(1-Y$2/2)*Y4</f>
        <v>-3.3805324116084265</v>
      </c>
      <c r="AA4">
        <f>X4+NORMSINV(1-Y$2/2)*Y4</f>
        <v>-0.93615020310450303</v>
      </c>
      <c r="AC4">
        <v>1</v>
      </c>
      <c r="AD4">
        <f>B4</f>
        <v>4.5267574698597484</v>
      </c>
    </row>
    <row r="5" spans="1:43" ht="15.5" thickTop="1" thickBot="1" x14ac:dyDescent="0.4">
      <c r="A5" s="2">
        <f>A4+1</f>
        <v>2</v>
      </c>
      <c r="B5">
        <f>'[1]AR 2'!C5</f>
        <v>6.893370777512497</v>
      </c>
      <c r="D5">
        <f>D4+1</f>
        <v>2</v>
      </c>
      <c r="E5">
        <f t="shared" ref="E5:E23" si="0">B5-J$7</f>
        <v>0.2082720002962839</v>
      </c>
      <c r="F5">
        <v>0</v>
      </c>
      <c r="H5" s="2">
        <f>H4-1</f>
        <v>2</v>
      </c>
      <c r="I5">
        <v>-0.45240432632159983</v>
      </c>
      <c r="J5">
        <v>0</v>
      </c>
      <c r="L5">
        <v>0.40005345469561676</v>
      </c>
      <c r="M5">
        <v>1.0379367747971453</v>
      </c>
      <c r="N5">
        <v>1.112364830031136</v>
      </c>
      <c r="P5" t="s">
        <v>30</v>
      </c>
      <c r="Q5">
        <f>I5</f>
        <v>-0.45240432632159983</v>
      </c>
      <c r="R5">
        <f>[2]!ARMA_SSE(E4:E23,Q4:Q6,,0,2)</f>
        <v>9.0978732358350562</v>
      </c>
      <c r="S5">
        <f>CHIDIST(J19*(LN(R5)-LN(J9)),1)</f>
        <v>1.5738390784372804E-3</v>
      </c>
      <c r="U5">
        <f t="shared" ref="U5:W23" si="1">D5</f>
        <v>2</v>
      </c>
      <c r="V5">
        <f t="shared" si="1"/>
        <v>0.2082720002962839</v>
      </c>
      <c r="W5">
        <f t="shared" si="1"/>
        <v>0</v>
      </c>
      <c r="X5">
        <f t="shared" ref="X5:X23" si="2">V5-W5</f>
        <v>0.2082720002962839</v>
      </c>
      <c r="Y5">
        <f t="shared" ref="Y5:Y23" si="3">J$16</f>
        <v>0.62357834832295367</v>
      </c>
      <c r="Z5">
        <f t="shared" ref="Z5:Z23" si="4">X5-NORMSINV(1-Y$2/2)*Y5</f>
        <v>-1.0139191039556779</v>
      </c>
      <c r="AA5">
        <f t="shared" ref="AA5:AA23" si="5">X5+NORMSINV(1-Y$2/2)*Y5</f>
        <v>1.4304631045482457</v>
      </c>
      <c r="AC5">
        <f>AC4+1</f>
        <v>2</v>
      </c>
      <c r="AD5">
        <f>B5</f>
        <v>6.893370777512497</v>
      </c>
      <c r="AF5" s="4" t="s">
        <v>31</v>
      </c>
      <c r="AG5" s="4" t="s">
        <v>32</v>
      </c>
      <c r="AH5" s="4" t="s">
        <v>33</v>
      </c>
      <c r="AI5" s="4" t="s">
        <v>34</v>
      </c>
      <c r="AK5" s="6" t="s">
        <v>35</v>
      </c>
      <c r="AL5" s="6"/>
      <c r="AN5" s="6"/>
      <c r="AO5" s="6"/>
    </row>
    <row r="6" spans="1:43" ht="15" thickTop="1" x14ac:dyDescent="0.35">
      <c r="A6" s="2">
        <f t="shared" ref="A6:A23" si="6">A5+1</f>
        <v>3</v>
      </c>
      <c r="B6">
        <f>'[1]AR 2'!C6</f>
        <v>8.4253951175675805</v>
      </c>
      <c r="D6">
        <f t="shared" ref="D6:D23" si="7">D5+1</f>
        <v>3</v>
      </c>
      <c r="E6">
        <f t="shared" si="0"/>
        <v>1.7402963403513674</v>
      </c>
      <c r="F6">
        <v>0</v>
      </c>
      <c r="H6" s="2">
        <f>H5-1</f>
        <v>1</v>
      </c>
      <c r="I6">
        <v>9.6431296663486391E-2</v>
      </c>
      <c r="J6">
        <v>0</v>
      </c>
      <c r="L6" s="5">
        <v>-1.8175366305982601</v>
      </c>
      <c r="M6" s="5">
        <v>0</v>
      </c>
      <c r="N6" s="5">
        <v>1.8175366305982601</v>
      </c>
      <c r="P6" t="s">
        <v>36</v>
      </c>
      <c r="Q6">
        <f>I4</f>
        <v>-0.44465412867337695</v>
      </c>
      <c r="R6">
        <f>[2]!ARMA_SSE(E4:E23,Q4:Q6,,0,3)</f>
        <v>9.8431059089495765</v>
      </c>
      <c r="S6">
        <f>CHIDIST(J19*(LN(R6)-LN(J9)),1)</f>
        <v>7.6325609585740353E-4</v>
      </c>
      <c r="U6">
        <f t="shared" si="1"/>
        <v>3</v>
      </c>
      <c r="V6">
        <f t="shared" si="1"/>
        <v>1.7402963403513674</v>
      </c>
      <c r="W6">
        <f t="shared" si="1"/>
        <v>0</v>
      </c>
      <c r="X6">
        <f t="shared" si="2"/>
        <v>1.7402963403513674</v>
      </c>
      <c r="Y6">
        <f t="shared" si="3"/>
        <v>0.62357834832295367</v>
      </c>
      <c r="Z6">
        <f t="shared" si="4"/>
        <v>0.51810523609940562</v>
      </c>
      <c r="AA6">
        <f t="shared" si="5"/>
        <v>2.9624874446033291</v>
      </c>
      <c r="AC6">
        <f t="shared" ref="AC6:AC28" si="8">AC5+1</f>
        <v>3</v>
      </c>
      <c r="AD6">
        <f t="shared" ref="AD6:AD23" si="9">B6</f>
        <v>8.4253951175675805</v>
      </c>
      <c r="AF6" s="7">
        <f t="array" ref="AF6:AI22">[2]!ARMap(B4:B23,3)</f>
        <v>8.4253951175675805</v>
      </c>
      <c r="AG6" s="7">
        <v>6.893370777512497</v>
      </c>
      <c r="AH6" s="7">
        <v>4.5267574698597484</v>
      </c>
      <c r="AI6" s="7">
        <v>6.999502086988997</v>
      </c>
      <c r="AK6" t="s">
        <v>37</v>
      </c>
      <c r="AL6">
        <f>SQRT(AL7)</f>
        <v>0.83757847976958177</v>
      </c>
      <c r="AN6" t="s">
        <v>38</v>
      </c>
      <c r="AO6">
        <f>AL10*LN(AM15/AL10)+2*(AL14+1)</f>
        <v>-12.618037111067398</v>
      </c>
    </row>
    <row r="7" spans="1:43" x14ac:dyDescent="0.35">
      <c r="A7" s="2">
        <f t="shared" si="6"/>
        <v>4</v>
      </c>
      <c r="B7">
        <f>'[1]AR 2'!C7</f>
        <v>6.999502086988997</v>
      </c>
      <c r="D7">
        <f t="shared" si="7"/>
        <v>4</v>
      </c>
      <c r="E7">
        <f t="shared" si="0"/>
        <v>0.31440330977278386</v>
      </c>
      <c r="F7">
        <f>E7-SUMPRODUCT(E4:E6,I$4:I$6)</f>
        <v>-0.7189079423226723</v>
      </c>
      <c r="H7" s="8" t="s">
        <v>39</v>
      </c>
      <c r="I7" s="5">
        <f>J7*(1-SUM(I4:I6))</f>
        <v>12.037370414384151</v>
      </c>
      <c r="J7" s="5">
        <v>6.6850987772162132</v>
      </c>
      <c r="P7" t="s">
        <v>39</v>
      </c>
      <c r="Q7">
        <f>I7</f>
        <v>12.037370414384151</v>
      </c>
      <c r="R7">
        <f>[2]!ARMA_SSE(E4:E23,Q4:Q6,,J7)</f>
        <v>2468.3274468795021</v>
      </c>
      <c r="S7">
        <f>CHIDIST(J19*(LN(R7)-LN(J9)),1)</f>
        <v>1.0790660438036624E-24</v>
      </c>
      <c r="U7">
        <f t="shared" si="1"/>
        <v>4</v>
      </c>
      <c r="V7">
        <f t="shared" si="1"/>
        <v>0.31440330977278386</v>
      </c>
      <c r="W7">
        <f t="shared" si="1"/>
        <v>-0.7189079423226723</v>
      </c>
      <c r="X7">
        <f t="shared" si="2"/>
        <v>1.0333112520954562</v>
      </c>
      <c r="Y7">
        <f t="shared" si="3"/>
        <v>0.62357834832295367</v>
      </c>
      <c r="Z7">
        <f t="shared" si="4"/>
        <v>-0.1888798521565056</v>
      </c>
      <c r="AA7">
        <f t="shared" si="5"/>
        <v>2.2555023563474181</v>
      </c>
      <c r="AC7">
        <f t="shared" si="8"/>
        <v>4</v>
      </c>
      <c r="AD7">
        <f t="shared" si="9"/>
        <v>6.999502086988997</v>
      </c>
      <c r="AF7">
        <v>6.999502086988997</v>
      </c>
      <c r="AG7">
        <v>8.4253951175675805</v>
      </c>
      <c r="AH7">
        <v>6.893370777512497</v>
      </c>
      <c r="AI7">
        <v>6.1875941616300834</v>
      </c>
      <c r="AK7" t="s">
        <v>40</v>
      </c>
      <c r="AL7">
        <f>AM14/AM16</f>
        <v>0.7015377097731238</v>
      </c>
      <c r="AN7" t="s">
        <v>41</v>
      </c>
      <c r="AO7">
        <f>AO6+2*(AL14+2)*(AL14+3)/(AL10-AL14-3)</f>
        <v>-7.163491656521944</v>
      </c>
    </row>
    <row r="8" spans="1:43" x14ac:dyDescent="0.35">
      <c r="A8" s="2">
        <f t="shared" si="6"/>
        <v>5</v>
      </c>
      <c r="B8">
        <f>'[1]AR 2'!C8</f>
        <v>6.1875941616300834</v>
      </c>
      <c r="D8">
        <f t="shared" si="7"/>
        <v>5</v>
      </c>
      <c r="E8">
        <f t="shared" si="0"/>
        <v>-0.49750461558612979</v>
      </c>
      <c r="F8">
        <f t="shared" ref="F8:F23" si="10">E8-SUMPRODUCT(E5:E7,I$4:I$6)</f>
        <v>0.35210366385260028</v>
      </c>
      <c r="L8" t="s">
        <v>42</v>
      </c>
      <c r="P8" s="5" t="s">
        <v>43</v>
      </c>
      <c r="Q8" s="5">
        <f>J17</f>
        <v>9.0637500981712927E-4</v>
      </c>
      <c r="R8" s="5">
        <f>-Q8/(J18/SQRT(J19))</f>
        <v>-3.6322388976278439E-3</v>
      </c>
      <c r="S8" s="5">
        <f>TDIST(ABS(R8),J19-1,2)</f>
        <v>0.9971468014283178</v>
      </c>
      <c r="U8">
        <f t="shared" si="1"/>
        <v>5</v>
      </c>
      <c r="V8">
        <f t="shared" si="1"/>
        <v>-0.49750461558612979</v>
      </c>
      <c r="W8">
        <f t="shared" si="1"/>
        <v>0.35210366385260028</v>
      </c>
      <c r="X8">
        <f t="shared" si="2"/>
        <v>-0.84960827943873007</v>
      </c>
      <c r="Y8">
        <f t="shared" si="3"/>
        <v>0.62357834832295367</v>
      </c>
      <c r="Z8">
        <f t="shared" si="4"/>
        <v>-2.0717993836906921</v>
      </c>
      <c r="AA8">
        <f t="shared" si="5"/>
        <v>0.37258282481323168</v>
      </c>
      <c r="AC8">
        <f t="shared" si="8"/>
        <v>5</v>
      </c>
      <c r="AD8">
        <f t="shared" si="9"/>
        <v>6.1875941616300834</v>
      </c>
      <c r="AF8">
        <v>6.1875941616300834</v>
      </c>
      <c r="AG8">
        <v>6.999502086988997</v>
      </c>
      <c r="AH8">
        <v>8.4253951175675805</v>
      </c>
      <c r="AI8">
        <v>5.8129764708798239</v>
      </c>
      <c r="AK8" t="s">
        <v>44</v>
      </c>
      <c r="AL8">
        <f>1-(1-AL7)*(AL10-1)/(AL10-AL14-1)</f>
        <v>0.6326617966438447</v>
      </c>
      <c r="AN8" s="5" t="s">
        <v>45</v>
      </c>
      <c r="AO8" s="5">
        <f>AL10*LN(AM15/AL10)+(AL14+1)*LN(AL10)</f>
        <v>-9.2851837348425335</v>
      </c>
    </row>
    <row r="9" spans="1:43" ht="15" thickBot="1" x14ac:dyDescent="0.4">
      <c r="A9" s="2">
        <f t="shared" si="6"/>
        <v>6</v>
      </c>
      <c r="B9">
        <f>'[1]AR 2'!C9</f>
        <v>5.8129764708798239</v>
      </c>
      <c r="D9">
        <f t="shared" si="7"/>
        <v>6</v>
      </c>
      <c r="E9">
        <f t="shared" si="0"/>
        <v>-0.87212230633638921</v>
      </c>
      <c r="F9">
        <f t="shared" si="10"/>
        <v>9.1920079244092068E-2</v>
      </c>
      <c r="I9" t="s">
        <v>46</v>
      </c>
      <c r="J9" s="9">
        <f>SUMSQ(F7:F23)</f>
        <v>5.0550494344633776</v>
      </c>
      <c r="U9">
        <f t="shared" si="1"/>
        <v>6</v>
      </c>
      <c r="V9">
        <f t="shared" si="1"/>
        <v>-0.87212230633638921</v>
      </c>
      <c r="W9">
        <f t="shared" si="1"/>
        <v>9.1920079244092068E-2</v>
      </c>
      <c r="X9">
        <f t="shared" si="2"/>
        <v>-0.96404238558048128</v>
      </c>
      <c r="Y9">
        <f t="shared" si="3"/>
        <v>0.62357834832295367</v>
      </c>
      <c r="Z9">
        <f t="shared" si="4"/>
        <v>-2.1862334898324431</v>
      </c>
      <c r="AA9">
        <f t="shared" si="5"/>
        <v>0.25814871867148048</v>
      </c>
      <c r="AC9">
        <f t="shared" si="8"/>
        <v>6</v>
      </c>
      <c r="AD9">
        <f t="shared" si="9"/>
        <v>5.8129764708798239</v>
      </c>
      <c r="AF9">
        <v>5.8129764708798239</v>
      </c>
      <c r="AG9">
        <v>6.1875941616300834</v>
      </c>
      <c r="AH9">
        <v>6.999502086988997</v>
      </c>
      <c r="AI9">
        <v>7.1200726875188378</v>
      </c>
      <c r="AK9" t="s">
        <v>47</v>
      </c>
      <c r="AL9">
        <f>SQRT(AN15)</f>
        <v>0.62357834829043879</v>
      </c>
    </row>
    <row r="10" spans="1:43" ht="15" thickTop="1" x14ac:dyDescent="0.35">
      <c r="A10" s="2">
        <f t="shared" si="6"/>
        <v>7</v>
      </c>
      <c r="B10">
        <f>'[1]AR 2'!C10</f>
        <v>7.1200726875188378</v>
      </c>
      <c r="D10">
        <f t="shared" si="7"/>
        <v>7</v>
      </c>
      <c r="E10">
        <f t="shared" si="0"/>
        <v>0.43497391030262467</v>
      </c>
      <c r="F10">
        <f t="shared" si="10"/>
        <v>0.43380128445470645</v>
      </c>
      <c r="L10" s="4" t="s">
        <v>15</v>
      </c>
      <c r="M10" s="4" t="s">
        <v>16</v>
      </c>
      <c r="N10" s="4" t="s">
        <v>17</v>
      </c>
      <c r="P10" t="s">
        <v>48</v>
      </c>
      <c r="Q10" s="10" t="s">
        <v>49</v>
      </c>
      <c r="U10">
        <f t="shared" si="1"/>
        <v>7</v>
      </c>
      <c r="V10">
        <f t="shared" si="1"/>
        <v>0.43497391030262467</v>
      </c>
      <c r="W10">
        <f t="shared" si="1"/>
        <v>0.43380128445470645</v>
      </c>
      <c r="X10">
        <f t="shared" si="2"/>
        <v>1.1726258479182183E-3</v>
      </c>
      <c r="Y10">
        <f t="shared" si="3"/>
        <v>0.62357834832295367</v>
      </c>
      <c r="Z10">
        <f t="shared" si="4"/>
        <v>-1.2210184784040434</v>
      </c>
      <c r="AA10">
        <f t="shared" si="5"/>
        <v>1.2233637300998801</v>
      </c>
      <c r="AC10">
        <f t="shared" si="8"/>
        <v>7</v>
      </c>
      <c r="AD10">
        <f t="shared" si="9"/>
        <v>7.1200726875188378</v>
      </c>
      <c r="AF10">
        <v>7.1200726875188378</v>
      </c>
      <c r="AG10">
        <v>5.8129764708798239</v>
      </c>
      <c r="AH10">
        <v>6.1875941616300834</v>
      </c>
      <c r="AI10">
        <v>8.5019149332741044</v>
      </c>
      <c r="AK10" s="5" t="s">
        <v>50</v>
      </c>
      <c r="AL10" s="5">
        <f>COUNT(AI6:AI22)</f>
        <v>17</v>
      </c>
    </row>
    <row r="11" spans="1:43" x14ac:dyDescent="0.35">
      <c r="A11" s="2">
        <f t="shared" si="6"/>
        <v>8</v>
      </c>
      <c r="B11">
        <f>'[1]AR 2'!C11</f>
        <v>8.5019149332741044</v>
      </c>
      <c r="D11">
        <f t="shared" si="7"/>
        <v>8</v>
      </c>
      <c r="E11">
        <f t="shared" si="0"/>
        <v>1.8168161560578913</v>
      </c>
      <c r="F11">
        <f t="shared" si="10"/>
        <v>1.159101672050034</v>
      </c>
      <c r="I11" t="s">
        <v>51</v>
      </c>
      <c r="J11" s="11">
        <v>3</v>
      </c>
      <c r="U11">
        <f t="shared" si="1"/>
        <v>8</v>
      </c>
      <c r="V11">
        <f t="shared" si="1"/>
        <v>1.8168161560578913</v>
      </c>
      <c r="W11">
        <f t="shared" si="1"/>
        <v>1.159101672050034</v>
      </c>
      <c r="X11">
        <f t="shared" si="2"/>
        <v>0.65771448400785726</v>
      </c>
      <c r="Y11">
        <f t="shared" si="3"/>
        <v>0.62357834832295367</v>
      </c>
      <c r="Z11">
        <f t="shared" si="4"/>
        <v>-0.5644766202441045</v>
      </c>
      <c r="AA11">
        <f t="shared" si="5"/>
        <v>1.879905588259819</v>
      </c>
      <c r="AC11">
        <f t="shared" si="8"/>
        <v>8</v>
      </c>
      <c r="AD11">
        <f t="shared" si="9"/>
        <v>8.5019149332741044</v>
      </c>
      <c r="AF11">
        <v>8.5019149332741044</v>
      </c>
      <c r="AG11">
        <v>7.1200726875188378</v>
      </c>
      <c r="AH11">
        <v>5.8129764708798239</v>
      </c>
      <c r="AI11">
        <v>7.3012221051820614</v>
      </c>
    </row>
    <row r="12" spans="1:43" ht="15" thickBot="1" x14ac:dyDescent="0.4">
      <c r="A12" s="2">
        <f t="shared" si="6"/>
        <v>9</v>
      </c>
      <c r="B12">
        <f>'[1]AR 2'!C12</f>
        <v>7.3012221051820614</v>
      </c>
      <c r="D12">
        <f t="shared" si="7"/>
        <v>9</v>
      </c>
      <c r="E12">
        <f t="shared" si="0"/>
        <v>0.61612332796584823</v>
      </c>
      <c r="F12">
        <f t="shared" si="10"/>
        <v>0.24991668487532259</v>
      </c>
      <c r="I12" t="s">
        <v>52</v>
      </c>
      <c r="J12" s="12">
        <v>0</v>
      </c>
      <c r="L12" t="s">
        <v>53</v>
      </c>
      <c r="U12">
        <f t="shared" si="1"/>
        <v>9</v>
      </c>
      <c r="V12">
        <f t="shared" si="1"/>
        <v>0.61612332796584823</v>
      </c>
      <c r="W12">
        <f t="shared" si="1"/>
        <v>0.24991668487532259</v>
      </c>
      <c r="X12">
        <f t="shared" si="2"/>
        <v>0.36620664309052564</v>
      </c>
      <c r="Y12">
        <f t="shared" si="3"/>
        <v>0.62357834832295367</v>
      </c>
      <c r="Z12">
        <f t="shared" si="4"/>
        <v>-0.85598446116143612</v>
      </c>
      <c r="AA12">
        <f t="shared" si="5"/>
        <v>1.5883977473424875</v>
      </c>
      <c r="AC12">
        <f t="shared" si="8"/>
        <v>9</v>
      </c>
      <c r="AD12">
        <f t="shared" si="9"/>
        <v>7.3012221051820614</v>
      </c>
      <c r="AF12">
        <v>7.3012221051820614</v>
      </c>
      <c r="AG12">
        <v>8.5019149332741044</v>
      </c>
      <c r="AH12">
        <v>7.1200726875188378</v>
      </c>
      <c r="AI12">
        <v>6.0388768293832715</v>
      </c>
      <c r="AK12" t="s">
        <v>54</v>
      </c>
      <c r="AO12" s="2" t="s">
        <v>7</v>
      </c>
      <c r="AP12" s="2">
        <v>0.05</v>
      </c>
    </row>
    <row r="13" spans="1:43" ht="15.5" thickTop="1" thickBot="1" x14ac:dyDescent="0.4">
      <c r="A13" s="2">
        <f t="shared" si="6"/>
        <v>10</v>
      </c>
      <c r="B13">
        <f>'[1]AR 2'!C13</f>
        <v>6.0388768293832715</v>
      </c>
      <c r="D13">
        <f t="shared" si="7"/>
        <v>10</v>
      </c>
      <c r="E13">
        <f t="shared" si="0"/>
        <v>-0.64622194783294162</v>
      </c>
      <c r="F13">
        <f t="shared" si="10"/>
        <v>0.30971291495952324</v>
      </c>
      <c r="I13" t="s">
        <v>55</v>
      </c>
      <c r="J13" s="12">
        <v>0</v>
      </c>
      <c r="U13">
        <f t="shared" si="1"/>
        <v>10</v>
      </c>
      <c r="V13">
        <f t="shared" si="1"/>
        <v>-0.64622194783294162</v>
      </c>
      <c r="W13">
        <f t="shared" si="1"/>
        <v>0.30971291495952324</v>
      </c>
      <c r="X13">
        <f t="shared" si="2"/>
        <v>-0.95593486279246487</v>
      </c>
      <c r="Y13">
        <f t="shared" si="3"/>
        <v>0.62357834832295367</v>
      </c>
      <c r="Z13">
        <f t="shared" si="4"/>
        <v>-2.1781259670444264</v>
      </c>
      <c r="AA13">
        <f t="shared" si="5"/>
        <v>0.26625624145949689</v>
      </c>
      <c r="AC13">
        <f t="shared" si="8"/>
        <v>10</v>
      </c>
      <c r="AD13">
        <f t="shared" si="9"/>
        <v>6.0388768293832715</v>
      </c>
      <c r="AF13">
        <v>6.0388768293832715</v>
      </c>
      <c r="AG13">
        <v>7.3012221051820614</v>
      </c>
      <c r="AH13">
        <v>8.5019149332741044</v>
      </c>
      <c r="AI13">
        <v>4.7460896891377891</v>
      </c>
      <c r="AK13" s="4"/>
      <c r="AL13" s="4" t="s">
        <v>56</v>
      </c>
      <c r="AM13" s="4" t="s">
        <v>57</v>
      </c>
      <c r="AN13" s="4" t="s">
        <v>58</v>
      </c>
      <c r="AO13" s="4" t="s">
        <v>59</v>
      </c>
      <c r="AP13" s="4" t="s">
        <v>21</v>
      </c>
      <c r="AQ13" s="4" t="s">
        <v>60</v>
      </c>
    </row>
    <row r="14" spans="1:43" ht="15" thickTop="1" x14ac:dyDescent="0.35">
      <c r="A14" s="2">
        <f t="shared" si="6"/>
        <v>11</v>
      </c>
      <c r="B14">
        <f>'[1]AR 2'!C14</f>
        <v>4.7460896891377891</v>
      </c>
      <c r="D14">
        <f t="shared" si="7"/>
        <v>11</v>
      </c>
      <c r="E14">
        <f t="shared" si="0"/>
        <v>-1.9390090880784241</v>
      </c>
      <c r="F14">
        <f t="shared" si="10"/>
        <v>-0.79010140376544236</v>
      </c>
      <c r="I14" t="s">
        <v>61</v>
      </c>
      <c r="J14" s="12">
        <f>AVERAGE(F7:F23)</f>
        <v>3.7311805835990098E-6</v>
      </c>
      <c r="L14" s="4" t="s">
        <v>12</v>
      </c>
      <c r="M14" s="4" t="s">
        <v>62</v>
      </c>
      <c r="U14">
        <f t="shared" si="1"/>
        <v>11</v>
      </c>
      <c r="V14">
        <f t="shared" si="1"/>
        <v>-1.9390090880784241</v>
      </c>
      <c r="W14">
        <f t="shared" si="1"/>
        <v>-0.79010140376544236</v>
      </c>
      <c r="X14">
        <f t="shared" si="2"/>
        <v>-1.1489076843129817</v>
      </c>
      <c r="Y14">
        <f t="shared" si="3"/>
        <v>0.62357834832295367</v>
      </c>
      <c r="Z14">
        <f t="shared" si="4"/>
        <v>-2.3710987885649435</v>
      </c>
      <c r="AA14">
        <f t="shared" si="5"/>
        <v>7.3283419938980021E-2</v>
      </c>
      <c r="AC14">
        <f t="shared" si="8"/>
        <v>11</v>
      </c>
      <c r="AD14">
        <f t="shared" si="9"/>
        <v>4.7460896891377891</v>
      </c>
      <c r="AF14">
        <v>4.7460896891377891</v>
      </c>
      <c r="AG14">
        <v>6.0388768293832715</v>
      </c>
      <c r="AH14">
        <v>7.3012221051820614</v>
      </c>
      <c r="AI14">
        <v>6.6536767183588417</v>
      </c>
      <c r="AK14" t="s">
        <v>63</v>
      </c>
      <c r="AL14">
        <f>COUNT(AF6:AH6)</f>
        <v>3</v>
      </c>
      <c r="AM14">
        <f>DEVSQ(MMULT([2]!DEsign(AF6:AH22),AL19:AL22))</f>
        <v>11.88192920444928</v>
      </c>
      <c r="AN14">
        <f>AM14/AL14</f>
        <v>3.9606430681497602</v>
      </c>
      <c r="AO14">
        <f>AN14/AN15</f>
        <v>10.185530440175036</v>
      </c>
      <c r="AP14">
        <f>FDIST(AO14,AL14,AL15)</f>
        <v>1.0102401149736863E-3</v>
      </c>
      <c r="AQ14" s="2" t="str">
        <f>IF(AP14&lt;AP12,"yes","no")</f>
        <v>yes</v>
      </c>
    </row>
    <row r="15" spans="1:43" x14ac:dyDescent="0.35">
      <c r="A15" s="2">
        <f t="shared" si="6"/>
        <v>12</v>
      </c>
      <c r="B15">
        <f>'[1]AR 2'!C15</f>
        <v>6.6536767183588417</v>
      </c>
      <c r="D15">
        <f t="shared" si="7"/>
        <v>12</v>
      </c>
      <c r="E15">
        <f t="shared" si="0"/>
        <v>-3.1422058857371482E-2</v>
      </c>
      <c r="F15">
        <f t="shared" si="10"/>
        <v>0.1371672783367168</v>
      </c>
      <c r="I15" t="s">
        <v>64</v>
      </c>
      <c r="J15" s="12">
        <f>STDEV(F7:F23)</f>
        <v>0.5620859272737303</v>
      </c>
      <c r="L15" s="7">
        <v>0</v>
      </c>
      <c r="M15" s="7">
        <f t="array" ref="M15:M19">[2]!PSICoeff(I4:I6)</f>
        <v>1</v>
      </c>
      <c r="U15">
        <f t="shared" si="1"/>
        <v>12</v>
      </c>
      <c r="V15">
        <f t="shared" si="1"/>
        <v>-3.1422058857371482E-2</v>
      </c>
      <c r="W15">
        <f t="shared" si="1"/>
        <v>0.1371672783367168</v>
      </c>
      <c r="X15">
        <f t="shared" si="2"/>
        <v>-0.16858933719408828</v>
      </c>
      <c r="Y15">
        <f t="shared" si="3"/>
        <v>0.62357834832295367</v>
      </c>
      <c r="Z15">
        <f t="shared" si="4"/>
        <v>-1.3907804414460501</v>
      </c>
      <c r="AA15">
        <f t="shared" si="5"/>
        <v>1.0536017670578735</v>
      </c>
      <c r="AC15">
        <f t="shared" si="8"/>
        <v>12</v>
      </c>
      <c r="AD15">
        <f t="shared" si="9"/>
        <v>6.6536767183588417</v>
      </c>
      <c r="AF15">
        <v>6.6536767183588417</v>
      </c>
      <c r="AG15">
        <v>4.7460896891377891</v>
      </c>
      <c r="AH15">
        <v>6.0388768293832715</v>
      </c>
      <c r="AI15">
        <v>8.1939759194869595</v>
      </c>
      <c r="AK15" t="s">
        <v>65</v>
      </c>
      <c r="AL15">
        <f>AL16-AL14</f>
        <v>13</v>
      </c>
      <c r="AM15">
        <f>AM16-AM14</f>
        <v>5.0550494339362135</v>
      </c>
      <c r="AN15">
        <f>AM15/AL15</f>
        <v>0.38884995645663178</v>
      </c>
    </row>
    <row r="16" spans="1:43" x14ac:dyDescent="0.35">
      <c r="A16" s="2">
        <f t="shared" si="6"/>
        <v>13</v>
      </c>
      <c r="B16">
        <f>'[1]AR 2'!C16</f>
        <v>8.1939759194869595</v>
      </c>
      <c r="D16">
        <f t="shared" si="7"/>
        <v>13</v>
      </c>
      <c r="E16">
        <f t="shared" si="0"/>
        <v>1.5088771422707463</v>
      </c>
      <c r="F16">
        <f t="shared" si="10"/>
        <v>0.347345854783351</v>
      </c>
      <c r="I16" t="s">
        <v>66</v>
      </c>
      <c r="J16" s="12">
        <f>SQRT(J9/(J19-J11-1))</f>
        <v>0.62357834832295367</v>
      </c>
      <c r="L16">
        <f>L15+1</f>
        <v>1</v>
      </c>
      <c r="M16">
        <v>9.6431296663486391E-2</v>
      </c>
      <c r="U16">
        <f t="shared" si="1"/>
        <v>13</v>
      </c>
      <c r="V16">
        <f t="shared" si="1"/>
        <v>1.5088771422707463</v>
      </c>
      <c r="W16">
        <f t="shared" si="1"/>
        <v>0.347345854783351</v>
      </c>
      <c r="X16">
        <f t="shared" si="2"/>
        <v>1.1615312874873953</v>
      </c>
      <c r="Y16">
        <f t="shared" si="3"/>
        <v>0.62357834832295367</v>
      </c>
      <c r="Z16">
        <f t="shared" si="4"/>
        <v>-6.0659816764566443E-2</v>
      </c>
      <c r="AA16">
        <f t="shared" si="5"/>
        <v>2.3837223917393571</v>
      </c>
      <c r="AC16">
        <f t="shared" si="8"/>
        <v>13</v>
      </c>
      <c r="AD16">
        <f t="shared" si="9"/>
        <v>8.1939759194869595</v>
      </c>
      <c r="AF16">
        <v>8.1939759194869595</v>
      </c>
      <c r="AG16">
        <v>6.6536767183588417</v>
      </c>
      <c r="AH16">
        <v>4.7460896891377891</v>
      </c>
      <c r="AI16">
        <v>7.5602635334693442</v>
      </c>
      <c r="AK16" s="5" t="s">
        <v>67</v>
      </c>
      <c r="AL16" s="5">
        <f>AL10-1</f>
        <v>16</v>
      </c>
      <c r="AM16" s="5">
        <f>DEVSQ(AI6:AI22)</f>
        <v>16.936978638385494</v>
      </c>
      <c r="AN16" s="5"/>
      <c r="AO16" s="5"/>
      <c r="AP16" s="5"/>
      <c r="AQ16" s="5"/>
    </row>
    <row r="17" spans="1:44" ht="15" thickBot="1" x14ac:dyDescent="0.4">
      <c r="A17" s="2">
        <f t="shared" si="6"/>
        <v>14</v>
      </c>
      <c r="B17">
        <f>'[1]AR 2'!C17</f>
        <v>7.5602635334693442</v>
      </c>
      <c r="D17">
        <f t="shared" si="7"/>
        <v>14</v>
      </c>
      <c r="E17">
        <f t="shared" si="0"/>
        <v>0.87516475625313106</v>
      </c>
      <c r="F17">
        <f t="shared" si="10"/>
        <v>-0.14674209500021052</v>
      </c>
      <c r="I17" t="s">
        <v>68</v>
      </c>
      <c r="J17" s="12">
        <f>AVERAGE(E7:E23)</f>
        <v>9.0637500981712927E-4</v>
      </c>
      <c r="L17">
        <f>L16+1</f>
        <v>2</v>
      </c>
      <c r="M17">
        <v>-0.44310533134539848</v>
      </c>
      <c r="U17">
        <f t="shared" si="1"/>
        <v>14</v>
      </c>
      <c r="V17">
        <f t="shared" si="1"/>
        <v>0.87516475625313106</v>
      </c>
      <c r="W17">
        <f t="shared" si="1"/>
        <v>-0.14674209500021052</v>
      </c>
      <c r="X17">
        <f t="shared" si="2"/>
        <v>1.0219068512533416</v>
      </c>
      <c r="Y17">
        <f t="shared" si="3"/>
        <v>0.62357834832295367</v>
      </c>
      <c r="Z17">
        <f t="shared" si="4"/>
        <v>-0.20028425299862018</v>
      </c>
      <c r="AA17">
        <f t="shared" si="5"/>
        <v>2.2440979555053033</v>
      </c>
      <c r="AC17">
        <f t="shared" si="8"/>
        <v>14</v>
      </c>
      <c r="AD17">
        <f t="shared" si="9"/>
        <v>7.5602635334693442</v>
      </c>
      <c r="AF17">
        <v>7.5602635334693442</v>
      </c>
      <c r="AG17">
        <v>8.1939759194869595</v>
      </c>
      <c r="AH17">
        <v>6.6536767183588417</v>
      </c>
      <c r="AI17">
        <v>6.794451297136205</v>
      </c>
    </row>
    <row r="18" spans="1:44" ht="15" thickTop="1" x14ac:dyDescent="0.35">
      <c r="A18" s="2">
        <f t="shared" si="6"/>
        <v>15</v>
      </c>
      <c r="B18">
        <f>'[1]AR 2'!C18</f>
        <v>6.794451297136205</v>
      </c>
      <c r="D18">
        <f t="shared" si="7"/>
        <v>15</v>
      </c>
      <c r="E18">
        <f t="shared" si="0"/>
        <v>0.10935251991999184</v>
      </c>
      <c r="F18">
        <f t="shared" si="10"/>
        <v>0.69360984652902813</v>
      </c>
      <c r="I18" t="s">
        <v>69</v>
      </c>
      <c r="J18" s="12">
        <f>STDEV(E7:E23)</f>
        <v>1.0288640167189702</v>
      </c>
      <c r="L18">
        <f>L17+1</f>
        <v>3</v>
      </c>
      <c r="M18">
        <v>-0.53100928613688037</v>
      </c>
      <c r="U18">
        <f t="shared" si="1"/>
        <v>15</v>
      </c>
      <c r="V18">
        <f t="shared" si="1"/>
        <v>0.10935251991999184</v>
      </c>
      <c r="W18">
        <f t="shared" si="1"/>
        <v>0.69360984652902813</v>
      </c>
      <c r="X18">
        <f t="shared" si="2"/>
        <v>-0.58425732660903629</v>
      </c>
      <c r="Y18">
        <f t="shared" si="3"/>
        <v>0.62357834832295367</v>
      </c>
      <c r="Z18">
        <f t="shared" si="4"/>
        <v>-1.806448430860998</v>
      </c>
      <c r="AA18">
        <f t="shared" si="5"/>
        <v>0.63793377764292547</v>
      </c>
      <c r="AC18">
        <f t="shared" si="8"/>
        <v>15</v>
      </c>
      <c r="AD18">
        <f t="shared" si="9"/>
        <v>6.794451297136205</v>
      </c>
      <c r="AF18">
        <v>6.794451297136205</v>
      </c>
      <c r="AG18">
        <v>7.5602635334693442</v>
      </c>
      <c r="AH18">
        <v>8.1939759194869595</v>
      </c>
      <c r="AI18">
        <v>4.7244665351583883</v>
      </c>
      <c r="AK18" s="4"/>
      <c r="AL18" s="4" t="s">
        <v>70</v>
      </c>
      <c r="AM18" s="4" t="s">
        <v>71</v>
      </c>
      <c r="AN18" s="4" t="s">
        <v>72</v>
      </c>
      <c r="AO18" s="4" t="s">
        <v>21</v>
      </c>
      <c r="AP18" s="4" t="s">
        <v>24</v>
      </c>
      <c r="AQ18" s="4" t="s">
        <v>25</v>
      </c>
      <c r="AR18" s="4" t="s">
        <v>73</v>
      </c>
    </row>
    <row r="19" spans="1:44" x14ac:dyDescent="0.35">
      <c r="A19" s="2">
        <f t="shared" si="6"/>
        <v>16</v>
      </c>
      <c r="B19">
        <f>'[1]AR 2'!C19</f>
        <v>4.7244665351583883</v>
      </c>
      <c r="D19">
        <f t="shared" si="7"/>
        <v>16</v>
      </c>
      <c r="E19">
        <f t="shared" si="0"/>
        <v>-1.9606322420578248</v>
      </c>
      <c r="F19">
        <f t="shared" si="10"/>
        <v>-0.90432047440245089</v>
      </c>
      <c r="I19" t="s">
        <v>74</v>
      </c>
      <c r="J19" s="13">
        <f>COUNT(E7:E23)</f>
        <v>17</v>
      </c>
      <c r="L19" s="5">
        <f>L18+1</f>
        <v>4</v>
      </c>
      <c r="M19" s="5">
        <v>0.10637828071954616</v>
      </c>
      <c r="U19">
        <f t="shared" si="1"/>
        <v>16</v>
      </c>
      <c r="V19">
        <f t="shared" si="1"/>
        <v>-1.9606322420578248</v>
      </c>
      <c r="W19">
        <f t="shared" si="1"/>
        <v>-0.90432047440245089</v>
      </c>
      <c r="X19">
        <f t="shared" si="2"/>
        <v>-1.0563117676553739</v>
      </c>
      <c r="Y19">
        <f t="shared" si="3"/>
        <v>0.62357834832295367</v>
      </c>
      <c r="Z19">
        <f t="shared" si="4"/>
        <v>-2.2785028719073357</v>
      </c>
      <c r="AA19">
        <f t="shared" si="5"/>
        <v>0.16587933659658782</v>
      </c>
      <c r="AC19">
        <f t="shared" si="8"/>
        <v>16</v>
      </c>
      <c r="AD19">
        <f t="shared" si="9"/>
        <v>4.7244665351583883</v>
      </c>
      <c r="AF19">
        <v>4.7244665351583883</v>
      </c>
      <c r="AG19">
        <v>6.794451297136205</v>
      </c>
      <c r="AH19">
        <v>7.5602635334693442</v>
      </c>
      <c r="AI19">
        <v>6.0271551265385801</v>
      </c>
      <c r="AK19" t="s">
        <v>75</v>
      </c>
      <c r="AL19">
        <f t="array" ref="AL19:AM22">[2]!RegCoeff(AF6:AH22,AI6:AI22)</f>
        <v>12.037352025574407</v>
      </c>
      <c r="AM19">
        <v>2.2628188465902253</v>
      </c>
      <c r="AN19">
        <f>AL19/AM19</f>
        <v>5.3196269085848993</v>
      </c>
      <c r="AO19">
        <f>TDIST(ABS(AN19),$AL$15,2)</f>
        <v>1.3907840358609095E-4</v>
      </c>
      <c r="AP19">
        <f>AL19-TINV(AP$12,$AL$15)*AM19</f>
        <v>7.1488291141475955</v>
      </c>
      <c r="AQ19">
        <f>AL19+TINV(AP$12,$AL$15)*AM19</f>
        <v>16.925874937001218</v>
      </c>
    </row>
    <row r="20" spans="1:44" x14ac:dyDescent="0.35">
      <c r="A20" s="2">
        <f t="shared" si="6"/>
        <v>17</v>
      </c>
      <c r="B20">
        <f>'[1]AR 2'!C20</f>
        <v>6.0271551265385801</v>
      </c>
      <c r="D20">
        <f t="shared" si="7"/>
        <v>17</v>
      </c>
      <c r="E20">
        <f t="shared" si="0"/>
        <v>-0.65794365067763305</v>
      </c>
      <c r="F20">
        <f t="shared" si="10"/>
        <v>-3.0260166052400894E-2</v>
      </c>
      <c r="U20">
        <f t="shared" si="1"/>
        <v>17</v>
      </c>
      <c r="V20">
        <f t="shared" si="1"/>
        <v>-0.65794365067763305</v>
      </c>
      <c r="W20">
        <f t="shared" si="1"/>
        <v>-3.0260166052400894E-2</v>
      </c>
      <c r="X20">
        <f t="shared" si="2"/>
        <v>-0.62768348462523216</v>
      </c>
      <c r="Y20">
        <f t="shared" si="3"/>
        <v>0.62357834832295367</v>
      </c>
      <c r="Z20">
        <f t="shared" si="4"/>
        <v>-1.8498745888771939</v>
      </c>
      <c r="AA20">
        <f t="shared" si="5"/>
        <v>0.5945076196267296</v>
      </c>
      <c r="AC20">
        <f t="shared" si="8"/>
        <v>17</v>
      </c>
      <c r="AD20">
        <f t="shared" si="9"/>
        <v>6.0271551265385801</v>
      </c>
      <c r="AF20">
        <v>6.0271551265385801</v>
      </c>
      <c r="AG20">
        <v>4.7244665351583883</v>
      </c>
      <c r="AH20">
        <v>6.794451297136205</v>
      </c>
      <c r="AI20">
        <v>7.1259100258620851</v>
      </c>
      <c r="AK20" t="str">
        <f t="array" ref="AK20:AK22">TRANSPOSE(AF5:AH5)</f>
        <v>x1</v>
      </c>
      <c r="AL20">
        <v>9.6433559081776518E-2</v>
      </c>
      <c r="AM20">
        <v>0.2402259673343384</v>
      </c>
      <c r="AN20">
        <f>AL20/AM20</f>
        <v>0.40142853893710639</v>
      </c>
      <c r="AO20">
        <f>TDIST(ABS(AN20),$AL$15,2)</f>
        <v>0.69462546110839996</v>
      </c>
      <c r="AP20">
        <f>AL20-TINV(AP$12,$AL$15)*AM20</f>
        <v>-0.42254309121578282</v>
      </c>
      <c r="AQ20">
        <f>AL20+TINV(AP$12,$AL$15)*AM20</f>
        <v>0.61541020937933588</v>
      </c>
      <c r="AR20">
        <f>[2]!VIF(AF6:AH22,1)</f>
        <v>2.9360773812266867</v>
      </c>
    </row>
    <row r="21" spans="1:44" x14ac:dyDescent="0.35">
      <c r="A21" s="2">
        <f t="shared" si="6"/>
        <v>18</v>
      </c>
      <c r="B21">
        <f>'[1]AR 2'!C21</f>
        <v>7.1259100258620851</v>
      </c>
      <c r="D21">
        <f t="shared" si="7"/>
        <v>18</v>
      </c>
      <c r="E21">
        <f t="shared" si="0"/>
        <v>0.44081124864587196</v>
      </c>
      <c r="F21">
        <f t="shared" si="10"/>
        <v>-0.334116851157092</v>
      </c>
      <c r="I21" t="s">
        <v>76</v>
      </c>
      <c r="J21" s="11">
        <f>-(J24-2*(J11+J12+1))/2</f>
        <v>-13.812936509832156</v>
      </c>
      <c r="U21">
        <f t="shared" si="1"/>
        <v>18</v>
      </c>
      <c r="V21">
        <f t="shared" si="1"/>
        <v>0.44081124864587196</v>
      </c>
      <c r="W21">
        <f t="shared" si="1"/>
        <v>-0.334116851157092</v>
      </c>
      <c r="X21">
        <f t="shared" si="2"/>
        <v>0.77492809980296395</v>
      </c>
      <c r="Y21">
        <f t="shared" si="3"/>
        <v>0.62357834832295367</v>
      </c>
      <c r="Z21">
        <f t="shared" si="4"/>
        <v>-0.4472630044489978</v>
      </c>
      <c r="AA21">
        <f t="shared" si="5"/>
        <v>1.9971192040549257</v>
      </c>
      <c r="AC21">
        <f t="shared" si="8"/>
        <v>18</v>
      </c>
      <c r="AD21">
        <f t="shared" si="9"/>
        <v>7.1259100258620851</v>
      </c>
      <c r="AF21">
        <v>7.1259100258620851</v>
      </c>
      <c r="AG21">
        <v>6.0271551265385801</v>
      </c>
      <c r="AH21">
        <v>4.7244665351583883</v>
      </c>
      <c r="AI21">
        <v>7.1912478294921529</v>
      </c>
      <c r="AK21" t="str">
        <v>x2</v>
      </c>
      <c r="AL21">
        <v>-0.45240785114211218</v>
      </c>
      <c r="AM21">
        <v>0.18767886953020918</v>
      </c>
      <c r="AN21">
        <f>AL21/AM21</f>
        <v>-2.410542285738202</v>
      </c>
      <c r="AO21">
        <f>TDIST(ABS(AN21),$AL$15,2)</f>
        <v>3.1457808942546898E-2</v>
      </c>
      <c r="AP21">
        <f>AL21-TINV(AP$12,$AL$15)*AM21</f>
        <v>-0.85786339835554593</v>
      </c>
      <c r="AQ21">
        <f>AL21+TINV(AP$12,$AL$15)*AM21</f>
        <v>-4.695230392867844E-2</v>
      </c>
      <c r="AR21">
        <f>[2]!VIF(AF6:AH22,2)</f>
        <v>1.7779151588979285</v>
      </c>
    </row>
    <row r="22" spans="1:44" x14ac:dyDescent="0.35">
      <c r="A22" s="2">
        <f t="shared" si="6"/>
        <v>19</v>
      </c>
      <c r="B22">
        <f>'[1]AR 2'!C22</f>
        <v>7.1912478294921529</v>
      </c>
      <c r="D22">
        <f t="shared" si="7"/>
        <v>19</v>
      </c>
      <c r="E22">
        <f t="shared" si="0"/>
        <v>0.50614905227593976</v>
      </c>
      <c r="F22">
        <f t="shared" si="10"/>
        <v>-0.70581872329837236</v>
      </c>
      <c r="I22" t="s">
        <v>38</v>
      </c>
      <c r="J22" s="12">
        <f>J19*LN(J9/J19)+2*(J11+J12+1)</f>
        <v>-12.618037109294562</v>
      </c>
      <c r="U22">
        <f t="shared" si="1"/>
        <v>19</v>
      </c>
      <c r="V22">
        <f t="shared" si="1"/>
        <v>0.50614905227593976</v>
      </c>
      <c r="W22">
        <f t="shared" si="1"/>
        <v>-0.70581872329837236</v>
      </c>
      <c r="X22">
        <f t="shared" si="2"/>
        <v>1.2119677755743121</v>
      </c>
      <c r="Y22">
        <f t="shared" si="3"/>
        <v>0.62357834832295367</v>
      </c>
      <c r="Z22">
        <f t="shared" si="4"/>
        <v>-1.0223328677649635E-2</v>
      </c>
      <c r="AA22">
        <f t="shared" si="5"/>
        <v>2.4341588798262741</v>
      </c>
      <c r="AC22">
        <f t="shared" si="8"/>
        <v>19</v>
      </c>
      <c r="AD22">
        <f t="shared" si="9"/>
        <v>7.1912478294921529</v>
      </c>
      <c r="AF22" s="5">
        <v>7.1912478294921529</v>
      </c>
      <c r="AG22" s="5">
        <v>7.1259100258620851</v>
      </c>
      <c r="AH22" s="5">
        <v>6.0271551265385801</v>
      </c>
      <c r="AI22" s="5">
        <v>6.6826916383449895</v>
      </c>
      <c r="AK22" s="5" t="str">
        <v>x3</v>
      </c>
      <c r="AL22" s="5">
        <v>-0.44464950075144205</v>
      </c>
      <c r="AM22" s="5">
        <v>0.21442698252872713</v>
      </c>
      <c r="AN22" s="5">
        <f>AL22/AM22</f>
        <v>-2.0736639368222778</v>
      </c>
      <c r="AO22" s="5">
        <f>TDIST(ABS(AN22),$AL$15,2)</f>
        <v>5.8540527374007917E-2</v>
      </c>
      <c r="AP22" s="5">
        <f>AL22-TINV(AP$12,$AL$15)*AM22</f>
        <v>-0.90789083290639905</v>
      </c>
      <c r="AQ22" s="5">
        <f>AL22+TINV(AP$12,$AL$15)*AM22</f>
        <v>1.8591831403514891E-2</v>
      </c>
      <c r="AR22" s="5">
        <f>[2]!VIF(AF6:AH22,3)</f>
        <v>2.8544694459695079</v>
      </c>
    </row>
    <row r="23" spans="1:44" x14ac:dyDescent="0.35">
      <c r="A23" s="2">
        <f t="shared" si="6"/>
        <v>20</v>
      </c>
      <c r="B23" s="5">
        <f>'[1]AR 2'!C23</f>
        <v>6.6826916383449895</v>
      </c>
      <c r="D23" s="5">
        <f t="shared" si="7"/>
        <v>20</v>
      </c>
      <c r="E23" s="5">
        <f t="shared" si="0"/>
        <v>-2.4071388712236796E-3</v>
      </c>
      <c r="F23" s="5">
        <f t="shared" si="10"/>
        <v>-0.14434819301681198</v>
      </c>
      <c r="I23" t="s">
        <v>77</v>
      </c>
      <c r="J23" s="12">
        <f>J19*LN(J9/J19)+LN(J19)*(J11+J12+1)</f>
        <v>-9.2851837330696974</v>
      </c>
      <c r="U23">
        <f t="shared" si="1"/>
        <v>20</v>
      </c>
      <c r="V23">
        <f t="shared" si="1"/>
        <v>-2.4071388712236796E-3</v>
      </c>
      <c r="W23">
        <f t="shared" si="1"/>
        <v>-0.14434819301681198</v>
      </c>
      <c r="X23">
        <f t="shared" si="2"/>
        <v>0.1419410541455883</v>
      </c>
      <c r="Y23">
        <f t="shared" si="3"/>
        <v>0.62357834832295367</v>
      </c>
      <c r="Z23">
        <f t="shared" si="4"/>
        <v>-1.0802500501063734</v>
      </c>
      <c r="AA23">
        <f t="shared" si="5"/>
        <v>1.3641321583975501</v>
      </c>
      <c r="AC23" s="5">
        <f t="shared" si="8"/>
        <v>20</v>
      </c>
      <c r="AD23" s="5">
        <f t="shared" si="9"/>
        <v>6.6826916383449895</v>
      </c>
    </row>
    <row r="24" spans="1:44" x14ac:dyDescent="0.35">
      <c r="I24" t="s">
        <v>78</v>
      </c>
      <c r="J24" s="12">
        <f>J19*(1+LN(2*PI()))+J22</f>
        <v>35.625873019664311</v>
      </c>
      <c r="U24">
        <f>U23+1</f>
        <v>21</v>
      </c>
      <c r="X24">
        <f>SUMPRODUCT(V21:V23,I$4:I$6)</f>
        <v>-0.42522468621186738</v>
      </c>
      <c r="Y24">
        <f>J$16*SQRT(SUMSQ(M$15:M15))</f>
        <v>0.62357834832295367</v>
      </c>
      <c r="Z24">
        <f>X24-NORMSINV(1-Y$2/2)*Y24</f>
        <v>-1.6474157904638291</v>
      </c>
      <c r="AA24">
        <f>X24+NORMSINV(1-Y$2/2)*Y24</f>
        <v>0.79696641804009438</v>
      </c>
      <c r="AC24">
        <f t="shared" si="8"/>
        <v>21</v>
      </c>
      <c r="AD24">
        <f>X24+J$7</f>
        <v>6.2598740910043453</v>
      </c>
    </row>
    <row r="25" spans="1:44" x14ac:dyDescent="0.35">
      <c r="I25" t="s">
        <v>79</v>
      </c>
      <c r="J25" s="13">
        <f>J19*(1+LN(2*PI()))+J23</f>
        <v>38.958726395889173</v>
      </c>
      <c r="U25">
        <f>U24+1</f>
        <v>22</v>
      </c>
      <c r="X25">
        <f>SUMPRODUCT(V22:V23,I4:I5)+SUMPRODUCT(X24,I6)</f>
        <v>-0.26497723364394954</v>
      </c>
      <c r="Y25">
        <f>J$16*SQRT(SUMSQ(M$15:M16))</f>
        <v>0.62647096524032642</v>
      </c>
      <c r="Z25">
        <f>X25-NORMSINV(1-Y$2/2)*Y25</f>
        <v>-1.4928377628750331</v>
      </c>
      <c r="AA25">
        <f>X25+NORMSINV(1-Y$2/2)*Y25</f>
        <v>0.96288329558713404</v>
      </c>
      <c r="AC25">
        <f t="shared" si="8"/>
        <v>22</v>
      </c>
      <c r="AD25">
        <f>X25+J$7</f>
        <v>6.4201215435722636</v>
      </c>
    </row>
    <row r="26" spans="1:44" x14ac:dyDescent="0.35">
      <c r="U26">
        <f>U25+1</f>
        <v>23</v>
      </c>
      <c r="X26">
        <f>SUMPRODUCT(V23,I4)+SUMPRODUCT(X24:X25,I5:I6)</f>
        <v>0.16789173371178367</v>
      </c>
      <c r="Y26">
        <f>J$16*SQRT(SUMSQ(M$15:M17))</f>
        <v>0.68469962653915184</v>
      </c>
      <c r="Z26">
        <f>X26-NORMSINV(1-Y$2/2)*Y26</f>
        <v>-1.1740948745329791</v>
      </c>
      <c r="AA26">
        <f>X26+NORMSINV(1-Y$2/2)*Y26</f>
        <v>1.5098783419565462</v>
      </c>
      <c r="AC26">
        <f t="shared" si="8"/>
        <v>23</v>
      </c>
      <c r="AD26">
        <f>X26+J$7</f>
        <v>6.8529905109279969</v>
      </c>
    </row>
    <row r="27" spans="1:44" x14ac:dyDescent="0.35">
      <c r="U27">
        <f>U26+1</f>
        <v>24</v>
      </c>
      <c r="X27">
        <f>SUMPRODUCT(X24:X26,I4:I6)</f>
        <v>0.3251447767961082</v>
      </c>
      <c r="Y27">
        <f>J$16*SQRT(SUMSQ(M$15:M18))</f>
        <v>0.76056422213437869</v>
      </c>
      <c r="Z27">
        <f>X27-NORMSINV(1-Y$2/2)*Y27</f>
        <v>-1.1655337065169951</v>
      </c>
      <c r="AA27">
        <f>X27+NORMSINV(1-Y$2/2)*Y27</f>
        <v>1.8158232601092115</v>
      </c>
      <c r="AC27">
        <f t="shared" si="8"/>
        <v>24</v>
      </c>
      <c r="AD27">
        <f>X27+J$7</f>
        <v>7.0102435540123214</v>
      </c>
    </row>
    <row r="28" spans="1:44" x14ac:dyDescent="0.35">
      <c r="U28" s="5">
        <f>U27+1</f>
        <v>25</v>
      </c>
      <c r="V28" s="5"/>
      <c r="W28" s="5"/>
      <c r="X28" s="5">
        <f>SUMPRODUCT(X25:X27,I4:I6)</f>
        <v>7.3222406689195857E-2</v>
      </c>
      <c r="Y28" s="5">
        <f>J$16*SQRT(SUMSQ(M$15:M19))</f>
        <v>0.76345156609088838</v>
      </c>
      <c r="Z28" s="5">
        <f>X28-NORMSINV(1-Y$2/2)*Y28</f>
        <v>-1.4231151667896458</v>
      </c>
      <c r="AA28" s="5">
        <f>X28+NORMSINV(1-Y$2/2)*Y28</f>
        <v>1.5695599801680373</v>
      </c>
      <c r="AC28" s="5">
        <f t="shared" si="8"/>
        <v>25</v>
      </c>
      <c r="AD28" s="5">
        <f>X28+J$7</f>
        <v>6.7583211839054087</v>
      </c>
    </row>
    <row r="30" spans="1:44" x14ac:dyDescent="0.35">
      <c r="D30" t="s">
        <v>80</v>
      </c>
      <c r="H30" t="s">
        <v>2</v>
      </c>
      <c r="L30" t="s">
        <v>3</v>
      </c>
      <c r="P30" t="s">
        <v>4</v>
      </c>
      <c r="U30" t="s">
        <v>5</v>
      </c>
      <c r="AC30" t="s">
        <v>6</v>
      </c>
    </row>
    <row r="31" spans="1:44" ht="15" thickBot="1" x14ac:dyDescent="0.4">
      <c r="X31" t="s">
        <v>7</v>
      </c>
      <c r="Y31">
        <v>0.05</v>
      </c>
    </row>
    <row r="32" spans="1:44" ht="15" thickTop="1" x14ac:dyDescent="0.35">
      <c r="D32" s="4" t="s">
        <v>9</v>
      </c>
      <c r="E32" s="4" t="s">
        <v>10</v>
      </c>
      <c r="F32" s="4" t="s">
        <v>11</v>
      </c>
      <c r="H32" s="4" t="s">
        <v>12</v>
      </c>
      <c r="I32" s="4" t="s">
        <v>13</v>
      </c>
      <c r="J32" s="4" t="s">
        <v>14</v>
      </c>
      <c r="L32" s="4" t="s">
        <v>15</v>
      </c>
      <c r="M32" s="4" t="s">
        <v>16</v>
      </c>
      <c r="N32" s="4" t="s">
        <v>17</v>
      </c>
      <c r="P32" s="4" t="s">
        <v>18</v>
      </c>
      <c r="Q32" s="4" t="s">
        <v>19</v>
      </c>
      <c r="R32" s="4" t="s">
        <v>20</v>
      </c>
      <c r="S32" s="4" t="s">
        <v>21</v>
      </c>
      <c r="U32" s="4" t="s">
        <v>9</v>
      </c>
      <c r="V32" s="4" t="s">
        <v>10</v>
      </c>
      <c r="W32" s="4" t="s">
        <v>11</v>
      </c>
      <c r="X32" s="4" t="s">
        <v>22</v>
      </c>
      <c r="Y32" s="4" t="s">
        <v>23</v>
      </c>
      <c r="Z32" s="4" t="s">
        <v>24</v>
      </c>
      <c r="AA32" s="4" t="s">
        <v>25</v>
      </c>
      <c r="AC32" s="4" t="s">
        <v>9</v>
      </c>
      <c r="AD32" s="4" t="s">
        <v>26</v>
      </c>
    </row>
    <row r="33" spans="4:30" x14ac:dyDescent="0.35">
      <c r="D33">
        <v>1</v>
      </c>
      <c r="E33">
        <f>B4-J$36</f>
        <v>-2.1583413073564648</v>
      </c>
      <c r="F33">
        <v>0</v>
      </c>
      <c r="H33" s="2">
        <v>3</v>
      </c>
      <c r="I33">
        <v>-0.44465412867337695</v>
      </c>
      <c r="J33">
        <v>0</v>
      </c>
      <c r="L33">
        <f t="array" ref="L33:N35">[2]!ARRoots(I33:I35)</f>
        <v>0.40005345469561676</v>
      </c>
      <c r="M33">
        <v>-1.0379367747971453</v>
      </c>
      <c r="N33">
        <v>1.112364830031136</v>
      </c>
      <c r="P33" t="s">
        <v>29</v>
      </c>
      <c r="Q33">
        <f>I35</f>
        <v>9.6431296663486391E-2</v>
      </c>
      <c r="R33">
        <f>[2]!ARMA_SSE(E33:E52,Q33:Q35,,0,1)</f>
        <v>5.2407027077553909</v>
      </c>
      <c r="S33">
        <f>CHIDIST(J48*(LN(R33)-LN(J38)),1)</f>
        <v>0.43360223032831707</v>
      </c>
      <c r="U33">
        <f>D33</f>
        <v>1</v>
      </c>
      <c r="V33">
        <f>E33</f>
        <v>-2.1583413073564648</v>
      </c>
      <c r="W33">
        <f>F33</f>
        <v>0</v>
      </c>
      <c r="X33">
        <f>V33-W33</f>
        <v>-2.1583413073564648</v>
      </c>
      <c r="Y33">
        <f>J$45</f>
        <v>0.54530344679460907</v>
      </c>
      <c r="Z33">
        <f>X33-NORMSINV(1-Y$31/2)*Y33</f>
        <v>-3.2271164237194521</v>
      </c>
      <c r="AA33">
        <f>X33+NORMSINV(1-Y$31/2)*Y33</f>
        <v>-1.0895661909934777</v>
      </c>
      <c r="AC33">
        <v>1</v>
      </c>
      <c r="AD33">
        <f>B4</f>
        <v>4.5267574698597484</v>
      </c>
    </row>
    <row r="34" spans="4:30" x14ac:dyDescent="0.35">
      <c r="D34">
        <f>D33+1</f>
        <v>2</v>
      </c>
      <c r="E34">
        <f t="shared" ref="E34:E52" si="11">B5-J$36</f>
        <v>0.2082720002962839</v>
      </c>
      <c r="F34">
        <v>0</v>
      </c>
      <c r="H34" s="2">
        <f>H33-1</f>
        <v>2</v>
      </c>
      <c r="I34">
        <v>-0.45240432632159983</v>
      </c>
      <c r="J34">
        <v>0</v>
      </c>
      <c r="L34">
        <v>0.40005345469561676</v>
      </c>
      <c r="M34">
        <v>1.0379367747971453</v>
      </c>
      <c r="N34">
        <v>1.112364830031136</v>
      </c>
      <c r="P34" t="s">
        <v>30</v>
      </c>
      <c r="Q34">
        <f>I34</f>
        <v>-0.45240432632159983</v>
      </c>
      <c r="R34">
        <f>[2]!ARMA_SSE(E33:E52,Q33:Q35,,0,2)</f>
        <v>9.0978732358350562</v>
      </c>
      <c r="S34">
        <f>CHIDIST(J48*(LN(R34)-LN(J38)),1)</f>
        <v>1.5738390784372804E-3</v>
      </c>
      <c r="U34">
        <f t="shared" ref="U34:W52" si="12">D34</f>
        <v>2</v>
      </c>
      <c r="V34">
        <f t="shared" si="12"/>
        <v>0.2082720002962839</v>
      </c>
      <c r="W34">
        <f t="shared" si="12"/>
        <v>0</v>
      </c>
      <c r="X34">
        <f t="shared" ref="X34:X52" si="13">V34-W34</f>
        <v>0.2082720002962839</v>
      </c>
      <c r="Y34">
        <f t="shared" ref="Y34:Y52" si="14">J$45</f>
        <v>0.54530344679460907</v>
      </c>
      <c r="Z34">
        <f t="shared" ref="Z34:Z52" si="15">X34-NORMSINV(1-Y$31/2)*Y34</f>
        <v>-0.86050311606670316</v>
      </c>
      <c r="AA34">
        <f t="shared" ref="AA34:AA52" si="16">X34+NORMSINV(1-Y$31/2)*Y34</f>
        <v>1.277047116659271</v>
      </c>
      <c r="AC34">
        <f>AC33+1</f>
        <v>2</v>
      </c>
      <c r="AD34">
        <f>B5</f>
        <v>6.893370777512497</v>
      </c>
    </row>
    <row r="35" spans="4:30" x14ac:dyDescent="0.35">
      <c r="D35">
        <f t="shared" ref="D35:D52" si="17">D34+1</f>
        <v>3</v>
      </c>
      <c r="E35">
        <f t="shared" si="11"/>
        <v>1.7402963403513674</v>
      </c>
      <c r="F35">
        <v>0</v>
      </c>
      <c r="H35" s="2">
        <f>H34-1</f>
        <v>1</v>
      </c>
      <c r="I35">
        <v>9.6431296663486391E-2</v>
      </c>
      <c r="J35">
        <v>0</v>
      </c>
      <c r="L35" s="5">
        <v>-1.8175366305982601</v>
      </c>
      <c r="M35" s="5">
        <v>0</v>
      </c>
      <c r="N35" s="5">
        <v>1.8175366305982601</v>
      </c>
      <c r="P35" t="s">
        <v>36</v>
      </c>
      <c r="Q35">
        <f>I33</f>
        <v>-0.44465412867337695</v>
      </c>
      <c r="R35">
        <f>[2]!ARMA_SSE(E33:E52,Q33:Q35,,0,3)</f>
        <v>9.8431059089495765</v>
      </c>
      <c r="S35">
        <f>CHIDIST(J48*(LN(R35)-LN(J38)),1)</f>
        <v>7.6325609585740353E-4</v>
      </c>
      <c r="U35">
        <f t="shared" si="12"/>
        <v>3</v>
      </c>
      <c r="V35">
        <f t="shared" si="12"/>
        <v>1.7402963403513674</v>
      </c>
      <c r="W35">
        <f t="shared" si="12"/>
        <v>0</v>
      </c>
      <c r="X35">
        <f t="shared" si="13"/>
        <v>1.7402963403513674</v>
      </c>
      <c r="Y35">
        <f t="shared" si="14"/>
        <v>0.54530344679460907</v>
      </c>
      <c r="Z35">
        <f t="shared" si="15"/>
        <v>0.67152122398838032</v>
      </c>
      <c r="AA35">
        <f t="shared" si="16"/>
        <v>2.8090714567143547</v>
      </c>
      <c r="AC35">
        <f t="shared" ref="AC35:AC57" si="18">AC34+1</f>
        <v>3</v>
      </c>
      <c r="AD35">
        <f t="shared" ref="AD35:AD52" si="19">B6</f>
        <v>8.4253951175675805</v>
      </c>
    </row>
    <row r="36" spans="4:30" x14ac:dyDescent="0.35">
      <c r="D36">
        <f t="shared" si="17"/>
        <v>4</v>
      </c>
      <c r="E36">
        <f t="shared" si="11"/>
        <v>0.31440330977278386</v>
      </c>
      <c r="F36">
        <f>E36-SUMPRODUCT(E33:E35,I$33:I$35)</f>
        <v>-0.7189079423226723</v>
      </c>
      <c r="H36" s="8" t="s">
        <v>39</v>
      </c>
      <c r="I36" s="5">
        <f>J36*(1-SUM(I33:I35))</f>
        <v>12.037370414384151</v>
      </c>
      <c r="J36" s="5">
        <v>6.6850987772162132</v>
      </c>
      <c r="P36" t="s">
        <v>39</v>
      </c>
      <c r="Q36">
        <f>I36</f>
        <v>12.037370414384151</v>
      </c>
      <c r="R36">
        <f>[2]!ARMA_SSE(E33:E52,Q33:Q35,,J36)</f>
        <v>2468.3274468795021</v>
      </c>
      <c r="S36">
        <f>CHIDIST(J48*(LN(R36)-LN(J38)),1)</f>
        <v>1.0790660438036624E-24</v>
      </c>
      <c r="U36">
        <f t="shared" si="12"/>
        <v>4</v>
      </c>
      <c r="V36">
        <f t="shared" si="12"/>
        <v>0.31440330977278386</v>
      </c>
      <c r="W36">
        <f t="shared" si="12"/>
        <v>-0.7189079423226723</v>
      </c>
      <c r="X36">
        <f t="shared" si="13"/>
        <v>1.0333112520954562</v>
      </c>
      <c r="Y36">
        <f t="shared" si="14"/>
        <v>0.54530344679460907</v>
      </c>
      <c r="Z36">
        <f t="shared" si="15"/>
        <v>-3.5463864267530898E-2</v>
      </c>
      <c r="AA36">
        <f t="shared" si="16"/>
        <v>2.1020863684584432</v>
      </c>
      <c r="AC36">
        <f t="shared" si="18"/>
        <v>4</v>
      </c>
      <c r="AD36">
        <f t="shared" si="19"/>
        <v>6.999502086988997</v>
      </c>
    </row>
    <row r="37" spans="4:30" x14ac:dyDescent="0.35">
      <c r="D37">
        <f t="shared" si="17"/>
        <v>5</v>
      </c>
      <c r="E37">
        <f t="shared" si="11"/>
        <v>-0.49750461558612979</v>
      </c>
      <c r="F37">
        <f t="shared" ref="F37:F52" si="20">E37-SUMPRODUCT(E34:E36,I$33:I$35)</f>
        <v>0.35210366385260028</v>
      </c>
      <c r="L37" t="s">
        <v>42</v>
      </c>
      <c r="P37" s="5" t="s">
        <v>43</v>
      </c>
      <c r="Q37" s="5">
        <f>J46</f>
        <v>9.0637500981712927E-4</v>
      </c>
      <c r="R37" s="5">
        <f>-Q37/(J47/SQRT(J48))</f>
        <v>-3.6322388976278439E-3</v>
      </c>
      <c r="S37" s="5">
        <f>TDIST(ABS(R37),J48-1,2)</f>
        <v>0.9971468014283178</v>
      </c>
      <c r="U37">
        <f t="shared" si="12"/>
        <v>5</v>
      </c>
      <c r="V37">
        <f t="shared" si="12"/>
        <v>-0.49750461558612979</v>
      </c>
      <c r="W37">
        <f t="shared" si="12"/>
        <v>0.35210366385260028</v>
      </c>
      <c r="X37">
        <f t="shared" si="13"/>
        <v>-0.84960827943873007</v>
      </c>
      <c r="Y37">
        <f t="shared" si="14"/>
        <v>0.54530344679460907</v>
      </c>
      <c r="Z37">
        <f t="shared" si="15"/>
        <v>-1.9183833958017171</v>
      </c>
      <c r="AA37">
        <f t="shared" si="16"/>
        <v>0.21916683692425698</v>
      </c>
      <c r="AC37">
        <f t="shared" si="18"/>
        <v>5</v>
      </c>
      <c r="AD37">
        <f t="shared" si="19"/>
        <v>6.1875941616300834</v>
      </c>
    </row>
    <row r="38" spans="4:30" ht="15" thickBot="1" x14ac:dyDescent="0.4">
      <c r="D38">
        <f t="shared" si="17"/>
        <v>6</v>
      </c>
      <c r="E38">
        <f t="shared" si="11"/>
        <v>-0.87212230633638921</v>
      </c>
      <c r="F38">
        <f t="shared" si="20"/>
        <v>9.1920079244092068E-2</v>
      </c>
      <c r="I38" t="s">
        <v>46</v>
      </c>
      <c r="J38" s="9">
        <f>SUMSQ(F36:F52)</f>
        <v>5.0550494344633776</v>
      </c>
      <c r="U38">
        <f t="shared" si="12"/>
        <v>6</v>
      </c>
      <c r="V38">
        <f t="shared" si="12"/>
        <v>-0.87212230633638921</v>
      </c>
      <c r="W38">
        <f t="shared" si="12"/>
        <v>9.1920079244092068E-2</v>
      </c>
      <c r="X38">
        <f t="shared" si="13"/>
        <v>-0.96404238558048128</v>
      </c>
      <c r="Y38">
        <f t="shared" si="14"/>
        <v>0.54530344679460907</v>
      </c>
      <c r="Z38">
        <f t="shared" si="15"/>
        <v>-2.0328175019434682</v>
      </c>
      <c r="AA38">
        <f t="shared" si="16"/>
        <v>0.10473273078250578</v>
      </c>
      <c r="AC38">
        <f t="shared" si="18"/>
        <v>6</v>
      </c>
      <c r="AD38">
        <f t="shared" si="19"/>
        <v>5.8129764708798239</v>
      </c>
    </row>
    <row r="39" spans="4:30" ht="15" thickTop="1" x14ac:dyDescent="0.35">
      <c r="D39">
        <f t="shared" si="17"/>
        <v>7</v>
      </c>
      <c r="E39">
        <f t="shared" si="11"/>
        <v>0.43497391030262467</v>
      </c>
      <c r="F39">
        <f t="shared" si="20"/>
        <v>0.43380128445470645</v>
      </c>
      <c r="L39" s="4" t="s">
        <v>15</v>
      </c>
      <c r="M39" s="4" t="s">
        <v>16</v>
      </c>
      <c r="N39" s="4" t="s">
        <v>17</v>
      </c>
      <c r="P39" t="s">
        <v>48</v>
      </c>
      <c r="Q39" s="10" t="s">
        <v>49</v>
      </c>
      <c r="U39">
        <f t="shared" si="12"/>
        <v>7</v>
      </c>
      <c r="V39">
        <f t="shared" si="12"/>
        <v>0.43497391030262467</v>
      </c>
      <c r="W39">
        <f t="shared" si="12"/>
        <v>0.43380128445470645</v>
      </c>
      <c r="X39">
        <f t="shared" si="13"/>
        <v>1.1726258479182183E-3</v>
      </c>
      <c r="Y39">
        <f t="shared" si="14"/>
        <v>0.54530344679460907</v>
      </c>
      <c r="Z39">
        <f t="shared" si="15"/>
        <v>-1.0676024905150689</v>
      </c>
      <c r="AA39">
        <f t="shared" si="16"/>
        <v>1.0699477422109052</v>
      </c>
      <c r="AC39">
        <f t="shared" si="18"/>
        <v>7</v>
      </c>
      <c r="AD39">
        <f t="shared" si="19"/>
        <v>7.1200726875188378</v>
      </c>
    </row>
    <row r="40" spans="4:30" x14ac:dyDescent="0.35">
      <c r="D40">
        <f t="shared" si="17"/>
        <v>8</v>
      </c>
      <c r="E40">
        <f t="shared" si="11"/>
        <v>1.8168161560578913</v>
      </c>
      <c r="F40">
        <f t="shared" si="20"/>
        <v>1.159101672050034</v>
      </c>
      <c r="I40" t="s">
        <v>51</v>
      </c>
      <c r="J40" s="11">
        <v>3</v>
      </c>
      <c r="U40">
        <f t="shared" si="12"/>
        <v>8</v>
      </c>
      <c r="V40">
        <f t="shared" si="12"/>
        <v>1.8168161560578913</v>
      </c>
      <c r="W40">
        <f t="shared" si="12"/>
        <v>1.159101672050034</v>
      </c>
      <c r="X40">
        <f t="shared" si="13"/>
        <v>0.65771448400785726</v>
      </c>
      <c r="Y40">
        <f t="shared" si="14"/>
        <v>0.54530344679460907</v>
      </c>
      <c r="Z40">
        <f t="shared" si="15"/>
        <v>-0.4110606323551298</v>
      </c>
      <c r="AA40">
        <f t="shared" si="16"/>
        <v>1.7264896003708443</v>
      </c>
      <c r="AC40">
        <f t="shared" si="18"/>
        <v>8</v>
      </c>
      <c r="AD40">
        <f t="shared" si="19"/>
        <v>8.5019149332741044</v>
      </c>
    </row>
    <row r="41" spans="4:30" x14ac:dyDescent="0.35">
      <c r="D41">
        <f t="shared" si="17"/>
        <v>9</v>
      </c>
      <c r="E41">
        <f t="shared" si="11"/>
        <v>0.61612332796584823</v>
      </c>
      <c r="F41">
        <f t="shared" si="20"/>
        <v>0.24991668487532259</v>
      </c>
      <c r="I41" t="s">
        <v>52</v>
      </c>
      <c r="J41" s="12">
        <v>0</v>
      </c>
      <c r="L41" t="s">
        <v>53</v>
      </c>
      <c r="U41">
        <f t="shared" si="12"/>
        <v>9</v>
      </c>
      <c r="V41">
        <f t="shared" si="12"/>
        <v>0.61612332796584823</v>
      </c>
      <c r="W41">
        <f t="shared" si="12"/>
        <v>0.24991668487532259</v>
      </c>
      <c r="X41">
        <f t="shared" si="13"/>
        <v>0.36620664309052564</v>
      </c>
      <c r="Y41">
        <f t="shared" si="14"/>
        <v>0.54530344679460907</v>
      </c>
      <c r="Z41">
        <f t="shared" si="15"/>
        <v>-0.70256847327246141</v>
      </c>
      <c r="AA41">
        <f t="shared" si="16"/>
        <v>1.4349817594535126</v>
      </c>
      <c r="AC41">
        <f t="shared" si="18"/>
        <v>9</v>
      </c>
      <c r="AD41">
        <f t="shared" si="19"/>
        <v>7.3012221051820614</v>
      </c>
    </row>
    <row r="42" spans="4:30" ht="15" thickBot="1" x14ac:dyDescent="0.4">
      <c r="D42">
        <f t="shared" si="17"/>
        <v>10</v>
      </c>
      <c r="E42">
        <f t="shared" si="11"/>
        <v>-0.64622194783294162</v>
      </c>
      <c r="F42">
        <f t="shared" si="20"/>
        <v>0.30971291495952324</v>
      </c>
      <c r="I42" t="s">
        <v>55</v>
      </c>
      <c r="J42" s="12">
        <v>0</v>
      </c>
      <c r="U42">
        <f t="shared" si="12"/>
        <v>10</v>
      </c>
      <c r="V42">
        <f t="shared" si="12"/>
        <v>-0.64622194783294162</v>
      </c>
      <c r="W42">
        <f t="shared" si="12"/>
        <v>0.30971291495952324</v>
      </c>
      <c r="X42">
        <f t="shared" si="13"/>
        <v>-0.95593486279246487</v>
      </c>
      <c r="Y42">
        <f t="shared" si="14"/>
        <v>0.54530344679460907</v>
      </c>
      <c r="Z42">
        <f t="shared" si="15"/>
        <v>-2.0247099791554519</v>
      </c>
      <c r="AA42">
        <f t="shared" si="16"/>
        <v>0.11284025357052219</v>
      </c>
      <c r="AC42">
        <f t="shared" si="18"/>
        <v>10</v>
      </c>
      <c r="AD42">
        <f t="shared" si="19"/>
        <v>6.0388768293832715</v>
      </c>
    </row>
    <row r="43" spans="4:30" ht="15" thickTop="1" x14ac:dyDescent="0.35">
      <c r="D43">
        <f t="shared" si="17"/>
        <v>11</v>
      </c>
      <c r="E43">
        <f t="shared" si="11"/>
        <v>-1.9390090880784241</v>
      </c>
      <c r="F43">
        <f t="shared" si="20"/>
        <v>-0.79010140376544236</v>
      </c>
      <c r="I43" t="s">
        <v>61</v>
      </c>
      <c r="J43" s="12">
        <f>AVERAGE(F36:F52)</f>
        <v>3.7311805835990098E-6</v>
      </c>
      <c r="L43" s="4" t="s">
        <v>12</v>
      </c>
      <c r="M43" s="4" t="s">
        <v>62</v>
      </c>
      <c r="U43">
        <f t="shared" si="12"/>
        <v>11</v>
      </c>
      <c r="V43">
        <f t="shared" si="12"/>
        <v>-1.9390090880784241</v>
      </c>
      <c r="W43">
        <f t="shared" si="12"/>
        <v>-0.79010140376544236</v>
      </c>
      <c r="X43">
        <f t="shared" si="13"/>
        <v>-1.1489076843129817</v>
      </c>
      <c r="Y43">
        <f t="shared" si="14"/>
        <v>0.54530344679460907</v>
      </c>
      <c r="Z43">
        <f t="shared" si="15"/>
        <v>-2.217682800675969</v>
      </c>
      <c r="AA43">
        <f t="shared" si="16"/>
        <v>-8.0132567949994682E-2</v>
      </c>
      <c r="AC43">
        <f t="shared" si="18"/>
        <v>11</v>
      </c>
      <c r="AD43">
        <f t="shared" si="19"/>
        <v>4.7460896891377891</v>
      </c>
    </row>
    <row r="44" spans="4:30" x14ac:dyDescent="0.35">
      <c r="D44">
        <f t="shared" si="17"/>
        <v>12</v>
      </c>
      <c r="E44">
        <f t="shared" si="11"/>
        <v>-3.1422058857371482E-2</v>
      </c>
      <c r="F44">
        <f t="shared" si="20"/>
        <v>0.1371672783367168</v>
      </c>
      <c r="I44" t="s">
        <v>64</v>
      </c>
      <c r="J44" s="12">
        <f>STDEV(F36:F52)</f>
        <v>0.5620859272737303</v>
      </c>
      <c r="L44" s="7">
        <v>0</v>
      </c>
      <c r="M44" s="7">
        <f t="array" ref="M44:M48">[2]!PSICoeff(I33:I35)</f>
        <v>1</v>
      </c>
      <c r="U44">
        <f t="shared" si="12"/>
        <v>12</v>
      </c>
      <c r="V44">
        <f t="shared" si="12"/>
        <v>-3.1422058857371482E-2</v>
      </c>
      <c r="W44">
        <f t="shared" si="12"/>
        <v>0.1371672783367168</v>
      </c>
      <c r="X44">
        <f t="shared" si="13"/>
        <v>-0.16858933719408828</v>
      </c>
      <c r="Y44">
        <f t="shared" si="14"/>
        <v>0.54530344679460907</v>
      </c>
      <c r="Z44">
        <f t="shared" si="15"/>
        <v>-1.2373644535570754</v>
      </c>
      <c r="AA44">
        <f t="shared" si="16"/>
        <v>0.90018577916889875</v>
      </c>
      <c r="AC44">
        <f t="shared" si="18"/>
        <v>12</v>
      </c>
      <c r="AD44">
        <f t="shared" si="19"/>
        <v>6.6536767183588417</v>
      </c>
    </row>
    <row r="45" spans="4:30" x14ac:dyDescent="0.35">
      <c r="D45">
        <f t="shared" si="17"/>
        <v>13</v>
      </c>
      <c r="E45">
        <f t="shared" si="11"/>
        <v>1.5088771422707463</v>
      </c>
      <c r="F45">
        <f t="shared" si="20"/>
        <v>0.347345854783351</v>
      </c>
      <c r="I45" t="s">
        <v>66</v>
      </c>
      <c r="J45" s="12">
        <f>SQRT(J38/J48)</f>
        <v>0.54530344679460907</v>
      </c>
      <c r="L45">
        <f>L44+1</f>
        <v>1</v>
      </c>
      <c r="M45">
        <v>9.6431296663486391E-2</v>
      </c>
      <c r="U45">
        <f t="shared" si="12"/>
        <v>13</v>
      </c>
      <c r="V45">
        <f t="shared" si="12"/>
        <v>1.5088771422707463</v>
      </c>
      <c r="W45">
        <f t="shared" si="12"/>
        <v>0.347345854783351</v>
      </c>
      <c r="X45">
        <f t="shared" si="13"/>
        <v>1.1615312874873953</v>
      </c>
      <c r="Y45">
        <f t="shared" si="14"/>
        <v>0.54530344679460907</v>
      </c>
      <c r="Z45">
        <f t="shared" si="15"/>
        <v>9.275617112440826E-2</v>
      </c>
      <c r="AA45">
        <f t="shared" si="16"/>
        <v>2.2303064038503821</v>
      </c>
      <c r="AC45">
        <f t="shared" si="18"/>
        <v>13</v>
      </c>
      <c r="AD45">
        <f t="shared" si="19"/>
        <v>8.1939759194869595</v>
      </c>
    </row>
    <row r="46" spans="4:30" x14ac:dyDescent="0.35">
      <c r="D46">
        <f t="shared" si="17"/>
        <v>14</v>
      </c>
      <c r="E46">
        <f t="shared" si="11"/>
        <v>0.87516475625313106</v>
      </c>
      <c r="F46">
        <f t="shared" si="20"/>
        <v>-0.14674209500021052</v>
      </c>
      <c r="I46" t="s">
        <v>68</v>
      </c>
      <c r="J46" s="12">
        <f>AVERAGE(E36:E52)</f>
        <v>9.0637500981712927E-4</v>
      </c>
      <c r="L46">
        <f>L45+1</f>
        <v>2</v>
      </c>
      <c r="M46">
        <v>-0.44310533134539848</v>
      </c>
      <c r="U46">
        <f t="shared" si="12"/>
        <v>14</v>
      </c>
      <c r="V46">
        <f t="shared" si="12"/>
        <v>0.87516475625313106</v>
      </c>
      <c r="W46">
        <f t="shared" si="12"/>
        <v>-0.14674209500021052</v>
      </c>
      <c r="X46">
        <f t="shared" si="13"/>
        <v>1.0219068512533416</v>
      </c>
      <c r="Y46">
        <f t="shared" si="14"/>
        <v>0.54530344679460907</v>
      </c>
      <c r="Z46">
        <f t="shared" si="15"/>
        <v>-4.6868265109645479E-2</v>
      </c>
      <c r="AA46">
        <f t="shared" si="16"/>
        <v>2.0906819676163284</v>
      </c>
      <c r="AC46">
        <f t="shared" si="18"/>
        <v>14</v>
      </c>
      <c r="AD46">
        <f t="shared" si="19"/>
        <v>7.5602635334693442</v>
      </c>
    </row>
    <row r="47" spans="4:30" x14ac:dyDescent="0.35">
      <c r="D47">
        <f t="shared" si="17"/>
        <v>15</v>
      </c>
      <c r="E47">
        <f t="shared" si="11"/>
        <v>0.10935251991999184</v>
      </c>
      <c r="F47">
        <f t="shared" si="20"/>
        <v>0.69360984652902813</v>
      </c>
      <c r="I47" t="s">
        <v>69</v>
      </c>
      <c r="J47" s="12">
        <f>STDEV(E36:E52)</f>
        <v>1.0288640167189702</v>
      </c>
      <c r="L47">
        <f>L46+1</f>
        <v>3</v>
      </c>
      <c r="M47">
        <v>-0.53100928613688037</v>
      </c>
      <c r="U47">
        <f t="shared" si="12"/>
        <v>15</v>
      </c>
      <c r="V47">
        <f t="shared" si="12"/>
        <v>0.10935251991999184</v>
      </c>
      <c r="W47">
        <f t="shared" si="12"/>
        <v>0.69360984652902813</v>
      </c>
      <c r="X47">
        <f t="shared" si="13"/>
        <v>-0.58425732660903629</v>
      </c>
      <c r="Y47">
        <f t="shared" si="14"/>
        <v>0.54530344679460907</v>
      </c>
      <c r="Z47">
        <f t="shared" si="15"/>
        <v>-1.6530324429720233</v>
      </c>
      <c r="AA47">
        <f t="shared" si="16"/>
        <v>0.48451778975395077</v>
      </c>
      <c r="AC47">
        <f t="shared" si="18"/>
        <v>15</v>
      </c>
      <c r="AD47">
        <f t="shared" si="19"/>
        <v>6.794451297136205</v>
      </c>
    </row>
    <row r="48" spans="4:30" x14ac:dyDescent="0.35">
      <c r="D48">
        <f t="shared" si="17"/>
        <v>16</v>
      </c>
      <c r="E48">
        <f t="shared" si="11"/>
        <v>-1.9606322420578248</v>
      </c>
      <c r="F48">
        <f t="shared" si="20"/>
        <v>-0.90432047440245089</v>
      </c>
      <c r="I48" t="s">
        <v>74</v>
      </c>
      <c r="J48" s="13">
        <f>COUNT(E36:E52)</f>
        <v>17</v>
      </c>
      <c r="L48" s="5">
        <f>L47+1</f>
        <v>4</v>
      </c>
      <c r="M48" s="5">
        <v>0.10637828071954616</v>
      </c>
      <c r="U48">
        <f t="shared" si="12"/>
        <v>16</v>
      </c>
      <c r="V48">
        <f t="shared" si="12"/>
        <v>-1.9606322420578248</v>
      </c>
      <c r="W48">
        <f t="shared" si="12"/>
        <v>-0.90432047440245089</v>
      </c>
      <c r="X48">
        <f t="shared" si="13"/>
        <v>-1.0563117676553739</v>
      </c>
      <c r="Y48">
        <f t="shared" si="14"/>
        <v>0.54530344679460907</v>
      </c>
      <c r="Z48">
        <f t="shared" si="15"/>
        <v>-2.1250868840183612</v>
      </c>
      <c r="AA48">
        <f t="shared" si="16"/>
        <v>1.246334870761312E-2</v>
      </c>
      <c r="AC48">
        <f t="shared" si="18"/>
        <v>16</v>
      </c>
      <c r="AD48">
        <f t="shared" si="19"/>
        <v>4.7244665351583883</v>
      </c>
    </row>
    <row r="49" spans="4:35" x14ac:dyDescent="0.35">
      <c r="D49">
        <f t="shared" si="17"/>
        <v>17</v>
      </c>
      <c r="E49">
        <f t="shared" si="11"/>
        <v>-0.65794365067763305</v>
      </c>
      <c r="F49">
        <f t="shared" si="20"/>
        <v>-3.0260166052400894E-2</v>
      </c>
      <c r="U49">
        <f t="shared" si="12"/>
        <v>17</v>
      </c>
      <c r="V49">
        <f t="shared" si="12"/>
        <v>-0.65794365067763305</v>
      </c>
      <c r="W49">
        <f t="shared" si="12"/>
        <v>-3.0260166052400894E-2</v>
      </c>
      <c r="X49">
        <f t="shared" si="13"/>
        <v>-0.62768348462523216</v>
      </c>
      <c r="Y49">
        <f t="shared" si="14"/>
        <v>0.54530344679460907</v>
      </c>
      <c r="Z49">
        <f t="shared" si="15"/>
        <v>-1.6964586009882192</v>
      </c>
      <c r="AA49">
        <f t="shared" si="16"/>
        <v>0.4410916317377549</v>
      </c>
      <c r="AC49">
        <f t="shared" si="18"/>
        <v>17</v>
      </c>
      <c r="AD49">
        <f t="shared" si="19"/>
        <v>6.0271551265385801</v>
      </c>
    </row>
    <row r="50" spans="4:35" x14ac:dyDescent="0.35">
      <c r="D50">
        <f t="shared" si="17"/>
        <v>18</v>
      </c>
      <c r="E50">
        <f t="shared" si="11"/>
        <v>0.44081124864587196</v>
      </c>
      <c r="F50">
        <f t="shared" si="20"/>
        <v>-0.334116851157092</v>
      </c>
      <c r="I50" t="s">
        <v>76</v>
      </c>
      <c r="J50" s="11">
        <f>-(J53-2*(J40+J41+1))/2</f>
        <v>-13.812936509832156</v>
      </c>
      <c r="U50">
        <f t="shared" si="12"/>
        <v>18</v>
      </c>
      <c r="V50">
        <f t="shared" si="12"/>
        <v>0.44081124864587196</v>
      </c>
      <c r="W50">
        <f t="shared" si="12"/>
        <v>-0.334116851157092</v>
      </c>
      <c r="X50">
        <f t="shared" si="13"/>
        <v>0.77492809980296395</v>
      </c>
      <c r="Y50">
        <f t="shared" si="14"/>
        <v>0.54530344679460907</v>
      </c>
      <c r="Z50">
        <f t="shared" si="15"/>
        <v>-0.2938470165600231</v>
      </c>
      <c r="AA50">
        <f t="shared" si="16"/>
        <v>1.843703216165951</v>
      </c>
      <c r="AC50">
        <f t="shared" si="18"/>
        <v>18</v>
      </c>
      <c r="AD50">
        <f t="shared" si="19"/>
        <v>7.1259100258620851</v>
      </c>
    </row>
    <row r="51" spans="4:35" x14ac:dyDescent="0.35">
      <c r="D51">
        <f t="shared" si="17"/>
        <v>19</v>
      </c>
      <c r="E51">
        <f t="shared" si="11"/>
        <v>0.50614905227593976</v>
      </c>
      <c r="F51">
        <f t="shared" si="20"/>
        <v>-0.70581872329837236</v>
      </c>
      <c r="I51" t="s">
        <v>38</v>
      </c>
      <c r="J51" s="12">
        <f>J48*LN(J38/J48)+2*(J40+J41+1)</f>
        <v>-12.618037109294562</v>
      </c>
      <c r="U51">
        <f t="shared" si="12"/>
        <v>19</v>
      </c>
      <c r="V51">
        <f t="shared" si="12"/>
        <v>0.50614905227593976</v>
      </c>
      <c r="W51">
        <f t="shared" si="12"/>
        <v>-0.70581872329837236</v>
      </c>
      <c r="X51">
        <f t="shared" si="13"/>
        <v>1.2119677755743121</v>
      </c>
      <c r="Y51">
        <f t="shared" si="14"/>
        <v>0.54530344679460907</v>
      </c>
      <c r="Z51">
        <f t="shared" si="15"/>
        <v>0.14319265921132507</v>
      </c>
      <c r="AA51">
        <f t="shared" si="16"/>
        <v>2.2807428919372992</v>
      </c>
      <c r="AC51">
        <f t="shared" si="18"/>
        <v>19</v>
      </c>
      <c r="AD51">
        <f t="shared" si="19"/>
        <v>7.1912478294921529</v>
      </c>
    </row>
    <row r="52" spans="4:35" x14ac:dyDescent="0.35">
      <c r="D52" s="5">
        <f t="shared" si="17"/>
        <v>20</v>
      </c>
      <c r="E52" s="5">
        <f t="shared" si="11"/>
        <v>-2.4071388712236796E-3</v>
      </c>
      <c r="F52" s="5">
        <f t="shared" si="20"/>
        <v>-0.14434819301681198</v>
      </c>
      <c r="I52" t="s">
        <v>77</v>
      </c>
      <c r="J52" s="12">
        <f>J48*LN(J38/J48)+LN(J48)*(J40+J41+1)</f>
        <v>-9.2851837330696974</v>
      </c>
      <c r="U52">
        <f t="shared" si="12"/>
        <v>20</v>
      </c>
      <c r="V52">
        <f t="shared" si="12"/>
        <v>-2.4071388712236796E-3</v>
      </c>
      <c r="W52">
        <f t="shared" si="12"/>
        <v>-0.14434819301681198</v>
      </c>
      <c r="X52">
        <f t="shared" si="13"/>
        <v>0.1419410541455883</v>
      </c>
      <c r="Y52">
        <f t="shared" si="14"/>
        <v>0.54530344679460907</v>
      </c>
      <c r="Z52">
        <f t="shared" si="15"/>
        <v>-0.92683406221739872</v>
      </c>
      <c r="AA52">
        <f t="shared" si="16"/>
        <v>1.2107161705085754</v>
      </c>
      <c r="AC52" s="5">
        <f t="shared" si="18"/>
        <v>20</v>
      </c>
      <c r="AD52" s="5">
        <f t="shared" si="19"/>
        <v>6.6826916383449895</v>
      </c>
    </row>
    <row r="53" spans="4:35" x14ac:dyDescent="0.35">
      <c r="I53" t="s">
        <v>78</v>
      </c>
      <c r="J53" s="12">
        <f>J48*(1+LN(2*PI()))+J51</f>
        <v>35.625873019664311</v>
      </c>
      <c r="U53">
        <f>U52+1</f>
        <v>21</v>
      </c>
      <c r="X53">
        <f>SUMPRODUCT(V50:V52,I$33:I$35)</f>
        <v>-0.42522468621186738</v>
      </c>
      <c r="Y53">
        <f>J$45*SQRT(SUMSQ(M$44:M44))</f>
        <v>0.54530344679460907</v>
      </c>
      <c r="Z53">
        <f>X53-NORMSINV(1-Y$31/2)*Y53</f>
        <v>-1.4939998025748544</v>
      </c>
      <c r="AA53">
        <f>X53+NORMSINV(1-Y$31/2)*Y53</f>
        <v>0.64355043015111968</v>
      </c>
      <c r="AC53">
        <f t="shared" si="18"/>
        <v>21</v>
      </c>
      <c r="AD53">
        <f>X53+J$36</f>
        <v>6.2598740910043453</v>
      </c>
    </row>
    <row r="54" spans="4:35" x14ac:dyDescent="0.35">
      <c r="I54" t="s">
        <v>79</v>
      </c>
      <c r="J54" s="13">
        <f>J48*(1+LN(2*PI()))+J52</f>
        <v>38.958726395889173</v>
      </c>
      <c r="U54">
        <f>U53+1</f>
        <v>22</v>
      </c>
      <c r="X54">
        <f>SUMPRODUCT(V51:V52,I33:I34)+SUMPRODUCT(X53,I35)</f>
        <v>-0.26497723364394954</v>
      </c>
      <c r="Y54">
        <f>J$45*SQRT(SUMSQ(M$44:M45))</f>
        <v>0.54783296690951022</v>
      </c>
      <c r="Z54">
        <f>X54-NORMSINV(1-Y$31/2)*Y54</f>
        <v>-1.3387101183303125</v>
      </c>
      <c r="AA54">
        <f>X54+NORMSINV(1-Y$31/2)*Y54</f>
        <v>0.80875565104241343</v>
      </c>
      <c r="AC54">
        <f t="shared" si="18"/>
        <v>22</v>
      </c>
      <c r="AD54">
        <f>X54+J$36</f>
        <v>6.4201215435722636</v>
      </c>
    </row>
    <row r="55" spans="4:35" x14ac:dyDescent="0.35">
      <c r="U55">
        <f>U54+1</f>
        <v>23</v>
      </c>
      <c r="X55">
        <f>SUMPRODUCT(V52,I33)+SUMPRODUCT(X53:X54,I34:I35)</f>
        <v>0.16789173371178367</v>
      </c>
      <c r="Y55">
        <f>J$45*SQRT(SUMSQ(M$44:M46))</f>
        <v>0.59875245408201982</v>
      </c>
      <c r="Z55">
        <f>X55-NORMSINV(1-Y$31/2)*Y55</f>
        <v>-1.0056415119439475</v>
      </c>
      <c r="AA55">
        <f>X55+NORMSINV(1-Y$31/2)*Y55</f>
        <v>1.3414249793675146</v>
      </c>
      <c r="AC55">
        <f t="shared" si="18"/>
        <v>23</v>
      </c>
      <c r="AD55">
        <f>X55+J$36</f>
        <v>6.8529905109279969</v>
      </c>
    </row>
    <row r="56" spans="4:35" x14ac:dyDescent="0.35">
      <c r="U56">
        <f>U55+1</f>
        <v>24</v>
      </c>
      <c r="X56">
        <f>SUMPRODUCT(X53:X55,I33:I35)</f>
        <v>0.3251447767961082</v>
      </c>
      <c r="Y56">
        <f>J$45*SQRT(SUMSQ(M$44:M47))</f>
        <v>0.66509411841179389</v>
      </c>
      <c r="Z56">
        <f>X56-NORMSINV(1-Y$31/2)*Y56</f>
        <v>-0.97841574162042555</v>
      </c>
      <c r="AA56">
        <f>X56+NORMSINV(1-Y$31/2)*Y56</f>
        <v>1.628705295212642</v>
      </c>
      <c r="AC56">
        <f t="shared" si="18"/>
        <v>24</v>
      </c>
      <c r="AD56">
        <f>X56+J$36</f>
        <v>7.0102435540123214</v>
      </c>
    </row>
    <row r="57" spans="4:35" x14ac:dyDescent="0.35">
      <c r="U57" s="5">
        <f>U56+1</f>
        <v>25</v>
      </c>
      <c r="V57" s="5"/>
      <c r="W57" s="5"/>
      <c r="X57" s="5">
        <f>SUMPRODUCT(X54:X56,I33:I35)</f>
        <v>7.3222406689195857E-2</v>
      </c>
      <c r="Y57" s="5">
        <f>J$45*SQRT(SUMSQ(M$44:M48))</f>
        <v>0.66761902745618373</v>
      </c>
      <c r="Z57" s="5">
        <f>X57-NORMSINV(1-Y$31/2)*Y57</f>
        <v>-1.2352868425185815</v>
      </c>
      <c r="AA57" s="5">
        <f>X57+NORMSINV(1-Y$31/2)*Y57</f>
        <v>1.381731655896973</v>
      </c>
      <c r="AC57" s="5">
        <f t="shared" si="18"/>
        <v>25</v>
      </c>
      <c r="AD57" s="5">
        <f>X57+J$36</f>
        <v>6.7583211839054087</v>
      </c>
    </row>
    <row r="59" spans="4:35" x14ac:dyDescent="0.35">
      <c r="D59" t="s">
        <v>81</v>
      </c>
      <c r="H59" t="s">
        <v>2</v>
      </c>
      <c r="L59" t="s">
        <v>3</v>
      </c>
      <c r="P59" t="s">
        <v>4</v>
      </c>
      <c r="U59" t="s">
        <v>5</v>
      </c>
      <c r="AC59" t="s">
        <v>6</v>
      </c>
      <c r="AF59" t="s">
        <v>27</v>
      </c>
    </row>
    <row r="60" spans="4:35" ht="15" thickBot="1" x14ac:dyDescent="0.4">
      <c r="X60" t="s">
        <v>7</v>
      </c>
      <c r="Y60">
        <v>0.05</v>
      </c>
    </row>
    <row r="61" spans="4:35" ht="15" thickTop="1" x14ac:dyDescent="0.35">
      <c r="D61" s="4" t="s">
        <v>9</v>
      </c>
      <c r="E61" s="4" t="s">
        <v>10</v>
      </c>
      <c r="F61" s="4" t="s">
        <v>11</v>
      </c>
      <c r="H61" s="4" t="s">
        <v>12</v>
      </c>
      <c r="I61" s="4" t="s">
        <v>13</v>
      </c>
      <c r="J61" s="4" t="s">
        <v>14</v>
      </c>
      <c r="L61" s="4" t="s">
        <v>15</v>
      </c>
      <c r="M61" s="4" t="s">
        <v>16</v>
      </c>
      <c r="N61" s="4" t="s">
        <v>17</v>
      </c>
      <c r="P61" s="4" t="s">
        <v>18</v>
      </c>
      <c r="Q61" s="4" t="s">
        <v>19</v>
      </c>
      <c r="R61" s="4" t="s">
        <v>20</v>
      </c>
      <c r="S61" s="4" t="s">
        <v>21</v>
      </c>
      <c r="U61" s="4" t="s">
        <v>9</v>
      </c>
      <c r="V61" s="4" t="s">
        <v>10</v>
      </c>
      <c r="W61" s="4" t="s">
        <v>11</v>
      </c>
      <c r="X61" s="4" t="s">
        <v>22</v>
      </c>
      <c r="Y61" s="4" t="s">
        <v>23</v>
      </c>
      <c r="Z61" s="4" t="s">
        <v>24</v>
      </c>
      <c r="AA61" s="4" t="s">
        <v>25</v>
      </c>
      <c r="AC61" s="4" t="s">
        <v>9</v>
      </c>
      <c r="AD61" s="4" t="s">
        <v>26</v>
      </c>
      <c r="AF61" s="4" t="s">
        <v>31</v>
      </c>
      <c r="AG61" s="4" t="s">
        <v>32</v>
      </c>
      <c r="AH61" s="4" t="s">
        <v>33</v>
      </c>
      <c r="AI61" s="4" t="s">
        <v>34</v>
      </c>
    </row>
    <row r="62" spans="4:35" x14ac:dyDescent="0.35">
      <c r="D62">
        <v>1</v>
      </c>
      <c r="E62">
        <f>B4</f>
        <v>4.5267574698597484</v>
      </c>
      <c r="F62">
        <v>0</v>
      </c>
      <c r="H62" s="2">
        <v>3</v>
      </c>
      <c r="I62">
        <v>0.52489081484369016</v>
      </c>
      <c r="J62">
        <v>0</v>
      </c>
      <c r="L62">
        <f t="array" ref="L62:N64">[2]!ARRoots(I62:I64)</f>
        <v>0.19504530480233631</v>
      </c>
      <c r="M62">
        <v>-1.3602235335808901</v>
      </c>
      <c r="N62">
        <v>1.3741363586750477</v>
      </c>
      <c r="P62" t="s">
        <v>29</v>
      </c>
      <c r="Q62">
        <f>I64</f>
        <v>1.1977138188847922</v>
      </c>
      <c r="R62">
        <f>[2]!ARMA_SSE(E62:E81,Q62:Q64,,0,1)</f>
        <v>1168.2805351929237</v>
      </c>
      <c r="S62">
        <f>CHIDIST(J77*(LN(R62)-LN(J67)),1)</f>
        <v>1.3781680684311838E-17</v>
      </c>
      <c r="U62">
        <f>D62</f>
        <v>1</v>
      </c>
      <c r="V62">
        <f>E62</f>
        <v>4.5267574698597484</v>
      </c>
      <c r="W62">
        <f>F62</f>
        <v>0</v>
      </c>
      <c r="X62">
        <f>V62-W62</f>
        <v>4.5267574698597484</v>
      </c>
      <c r="Y62">
        <f>J$74</f>
        <v>1.0710106336064442</v>
      </c>
      <c r="Z62">
        <f>X62-NORMSINV(1-Y$60/2)*Y62</f>
        <v>2.4276152009316947</v>
      </c>
      <c r="AA62">
        <f>X62+NORMSINV(1-Y$60/2)*Y62</f>
        <v>6.625899738787802</v>
      </c>
      <c r="AC62">
        <v>1</v>
      </c>
      <c r="AD62">
        <f>B4</f>
        <v>4.5267574698597484</v>
      </c>
      <c r="AF62" s="7">
        <f t="array" ref="AF62:AI78">[2]!ARMap(E62:E81,3)</f>
        <v>8.4253951175675805</v>
      </c>
      <c r="AG62" s="7">
        <v>6.893370777512497</v>
      </c>
      <c r="AH62" s="7">
        <v>4.5267574698597484</v>
      </c>
      <c r="AI62" s="7">
        <v>6.999502086988997</v>
      </c>
    </row>
    <row r="63" spans="4:35" x14ac:dyDescent="0.35">
      <c r="D63">
        <f>D62+1</f>
        <v>2</v>
      </c>
      <c r="E63">
        <f t="shared" ref="E63:E81" si="21">B5</f>
        <v>6.893370777512497</v>
      </c>
      <c r="F63">
        <v>0</v>
      </c>
      <c r="H63" s="2">
        <f>H62-1</f>
        <v>2</v>
      </c>
      <c r="I63">
        <v>-0.7343456636082657</v>
      </c>
      <c r="J63">
        <v>0</v>
      </c>
      <c r="L63">
        <v>0.19504530480233631</v>
      </c>
      <c r="M63">
        <v>1.3602235335808901</v>
      </c>
      <c r="N63">
        <v>1.3741363586750477</v>
      </c>
      <c r="P63" t="s">
        <v>30</v>
      </c>
      <c r="Q63">
        <f>I63</f>
        <v>-0.7343456636082657</v>
      </c>
      <c r="R63">
        <f>[2]!ARMA_SSE(E62:E81,Q62:Q64,,0,2)</f>
        <v>446.93895155929363</v>
      </c>
      <c r="S63">
        <f>CHIDIST(J77*(LN(R63)-LN(J67)),1)</f>
        <v>5.4935056943915584E-14</v>
      </c>
      <c r="U63">
        <f t="shared" ref="U63:W81" si="22">D63</f>
        <v>2</v>
      </c>
      <c r="V63">
        <f t="shared" si="22"/>
        <v>6.893370777512497</v>
      </c>
      <c r="W63">
        <f t="shared" si="22"/>
        <v>0</v>
      </c>
      <c r="X63">
        <f t="shared" ref="X63:X81" si="23">V63-W63</f>
        <v>6.893370777512497</v>
      </c>
      <c r="Y63">
        <f t="shared" ref="Y63:Y81" si="24">J$74</f>
        <v>1.0710106336064442</v>
      </c>
      <c r="Z63">
        <f t="shared" ref="Z63:Z81" si="25">X63-NORMSINV(1-Y$60/2)*Y63</f>
        <v>4.7942285085844434</v>
      </c>
      <c r="AA63">
        <f t="shared" ref="AA63:AA81" si="26">X63+NORMSINV(1-Y$60/2)*Y63</f>
        <v>8.9925130464405498</v>
      </c>
      <c r="AC63">
        <f>AC62+1</f>
        <v>2</v>
      </c>
      <c r="AD63">
        <f>B5</f>
        <v>6.893370777512497</v>
      </c>
      <c r="AF63">
        <v>6.999502086988997</v>
      </c>
      <c r="AG63">
        <v>8.4253951175675805</v>
      </c>
      <c r="AH63">
        <v>6.893370777512497</v>
      </c>
      <c r="AI63">
        <v>6.1875941616300834</v>
      </c>
    </row>
    <row r="64" spans="4:35" x14ac:dyDescent="0.35">
      <c r="D64">
        <f t="shared" ref="D64:D81" si="27">D63+1</f>
        <v>3</v>
      </c>
      <c r="E64">
        <f t="shared" si="21"/>
        <v>8.4253951175675805</v>
      </c>
      <c r="F64">
        <v>0</v>
      </c>
      <c r="H64" s="2">
        <f>H63-1</f>
        <v>1</v>
      </c>
      <c r="I64">
        <v>1.1977138188847922</v>
      </c>
      <c r="J64">
        <v>0</v>
      </c>
      <c r="L64" s="5">
        <v>1.0089539970855617</v>
      </c>
      <c r="M64" s="5">
        <v>0</v>
      </c>
      <c r="N64" s="5">
        <v>1.0089539970855617</v>
      </c>
      <c r="P64" t="s">
        <v>36</v>
      </c>
      <c r="Q64">
        <f>I62</f>
        <v>0.52489081484369016</v>
      </c>
      <c r="R64">
        <f>[2]!ARMA_SSE(E62:E81,Q62:Q64,,0,3)</f>
        <v>227.85147525764688</v>
      </c>
      <c r="S64">
        <f>CHIDIST(J77*(LN(R64)-LN(J67)),1)</f>
        <v>1.8805606143663495E-11</v>
      </c>
      <c r="U64">
        <f t="shared" si="22"/>
        <v>3</v>
      </c>
      <c r="V64">
        <f t="shared" si="22"/>
        <v>8.4253951175675805</v>
      </c>
      <c r="W64">
        <f t="shared" si="22"/>
        <v>0</v>
      </c>
      <c r="X64">
        <f t="shared" si="23"/>
        <v>8.4253951175675805</v>
      </c>
      <c r="Y64">
        <f t="shared" si="24"/>
        <v>1.0710106336064442</v>
      </c>
      <c r="Z64">
        <f t="shared" si="25"/>
        <v>6.3262528486395269</v>
      </c>
      <c r="AA64">
        <f t="shared" si="26"/>
        <v>10.524537386495634</v>
      </c>
      <c r="AC64">
        <f t="shared" ref="AC64:AC86" si="28">AC63+1</f>
        <v>3</v>
      </c>
      <c r="AD64">
        <f t="shared" ref="AD64:AD81" si="29">B6</f>
        <v>8.4253951175675805</v>
      </c>
      <c r="AF64">
        <v>6.1875941616300834</v>
      </c>
      <c r="AG64">
        <v>6.999502086988997</v>
      </c>
      <c r="AH64">
        <v>8.4253951175675805</v>
      </c>
      <c r="AI64">
        <v>5.8129764708798239</v>
      </c>
    </row>
    <row r="65" spans="4:35" x14ac:dyDescent="0.35">
      <c r="D65">
        <f t="shared" si="27"/>
        <v>4</v>
      </c>
      <c r="E65">
        <f t="shared" si="21"/>
        <v>6.999502086988997</v>
      </c>
      <c r="F65">
        <f>E65-SUMPRODUCT(E62:E64,I$62:I$64)</f>
        <v>-0.40564655373035663</v>
      </c>
      <c r="H65" s="8" t="s">
        <v>39</v>
      </c>
      <c r="I65" s="5">
        <v>0</v>
      </c>
      <c r="J65" s="5">
        <v>0</v>
      </c>
      <c r="P65" s="5" t="s">
        <v>43</v>
      </c>
      <c r="Q65" s="5">
        <f>J75</f>
        <v>6.6860051522260298</v>
      </c>
      <c r="R65" s="5">
        <f>-Q65/(J76/SQRT(J77))</f>
        <v>-26.793730763335184</v>
      </c>
      <c r="S65" s="5">
        <f>TDIST(ABS(R65),J77-1,2)</f>
        <v>1.0120327521144312E-14</v>
      </c>
      <c r="U65">
        <f t="shared" si="22"/>
        <v>4</v>
      </c>
      <c r="V65">
        <f t="shared" si="22"/>
        <v>6.999502086988997</v>
      </c>
      <c r="W65">
        <f t="shared" si="22"/>
        <v>-0.40564655373035663</v>
      </c>
      <c r="X65">
        <f t="shared" si="23"/>
        <v>7.4051486407193536</v>
      </c>
      <c r="Y65">
        <f t="shared" si="24"/>
        <v>1.0710106336064442</v>
      </c>
      <c r="Z65">
        <f t="shared" si="25"/>
        <v>5.3060063717913</v>
      </c>
      <c r="AA65">
        <f t="shared" si="26"/>
        <v>9.5042909096474073</v>
      </c>
      <c r="AC65">
        <f t="shared" si="28"/>
        <v>4</v>
      </c>
      <c r="AD65">
        <f t="shared" si="29"/>
        <v>6.999502086988997</v>
      </c>
      <c r="AF65">
        <v>5.8129764708798239</v>
      </c>
      <c r="AG65">
        <v>6.1875941616300834</v>
      </c>
      <c r="AH65">
        <v>6.999502086988997</v>
      </c>
      <c r="AI65">
        <v>7.1200726875188378</v>
      </c>
    </row>
    <row r="66" spans="4:35" x14ac:dyDescent="0.35">
      <c r="D66">
        <f t="shared" si="27"/>
        <v>5</v>
      </c>
      <c r="E66">
        <f t="shared" si="21"/>
        <v>6.1875941616300834</v>
      </c>
      <c r="F66">
        <f t="shared" ref="F66:F81" si="30">E66-SUMPRODUCT(E63:E65,I$62:I$64)</f>
        <v>0.37307915107420886</v>
      </c>
      <c r="L66" t="s">
        <v>42</v>
      </c>
      <c r="U66">
        <f t="shared" si="22"/>
        <v>5</v>
      </c>
      <c r="V66">
        <f t="shared" si="22"/>
        <v>6.1875941616300834</v>
      </c>
      <c r="W66">
        <f t="shared" si="22"/>
        <v>0.37307915107420886</v>
      </c>
      <c r="X66">
        <f t="shared" si="23"/>
        <v>5.8145150105558745</v>
      </c>
      <c r="Y66">
        <f t="shared" si="24"/>
        <v>1.0710106336064442</v>
      </c>
      <c r="Z66">
        <f t="shared" si="25"/>
        <v>3.7153727416278208</v>
      </c>
      <c r="AA66">
        <f t="shared" si="26"/>
        <v>7.9136572794839282</v>
      </c>
      <c r="AC66">
        <f t="shared" si="28"/>
        <v>5</v>
      </c>
      <c r="AD66">
        <f t="shared" si="29"/>
        <v>6.1875941616300834</v>
      </c>
      <c r="AF66">
        <v>7.1200726875188378</v>
      </c>
      <c r="AG66">
        <v>5.8129764708798239</v>
      </c>
      <c r="AH66">
        <v>6.1875941616300834</v>
      </c>
      <c r="AI66">
        <v>8.5019149332741044</v>
      </c>
    </row>
    <row r="67" spans="4:35" ht="15" thickBot="1" x14ac:dyDescent="0.4">
      <c r="D67">
        <f t="shared" si="27"/>
        <v>6</v>
      </c>
      <c r="E67">
        <f t="shared" si="21"/>
        <v>5.8129764708798239</v>
      </c>
      <c r="F67">
        <f t="shared" si="30"/>
        <v>-0.88034906579810723</v>
      </c>
      <c r="I67" t="s">
        <v>46</v>
      </c>
      <c r="J67" s="9">
        <f>SUMSQ(F65:F81)</f>
        <v>16.058892882173076</v>
      </c>
      <c r="P67" t="s">
        <v>48</v>
      </c>
      <c r="Q67" s="10" t="s">
        <v>49</v>
      </c>
      <c r="U67">
        <f t="shared" si="22"/>
        <v>6</v>
      </c>
      <c r="V67">
        <f t="shared" si="22"/>
        <v>5.8129764708798239</v>
      </c>
      <c r="W67">
        <f t="shared" si="22"/>
        <v>-0.88034906579810723</v>
      </c>
      <c r="X67">
        <f t="shared" si="23"/>
        <v>6.6933255366779312</v>
      </c>
      <c r="Y67">
        <f t="shared" si="24"/>
        <v>1.0710106336064442</v>
      </c>
      <c r="Z67">
        <f t="shared" si="25"/>
        <v>4.5941832677498775</v>
      </c>
      <c r="AA67">
        <f t="shared" si="26"/>
        <v>8.792467805605984</v>
      </c>
      <c r="AC67">
        <f t="shared" si="28"/>
        <v>6</v>
      </c>
      <c r="AD67">
        <f t="shared" si="29"/>
        <v>5.8129764708798239</v>
      </c>
      <c r="AF67">
        <v>8.5019149332741044</v>
      </c>
      <c r="AG67">
        <v>7.1200726875188378</v>
      </c>
      <c r="AH67">
        <v>5.8129764708798239</v>
      </c>
      <c r="AI67">
        <v>7.3012221051820614</v>
      </c>
    </row>
    <row r="68" spans="4:35" ht="15" thickTop="1" x14ac:dyDescent="0.35">
      <c r="D68">
        <f t="shared" si="27"/>
        <v>7</v>
      </c>
      <c r="E68">
        <f t="shared" si="21"/>
        <v>7.1200726875188378</v>
      </c>
      <c r="F68">
        <f t="shared" si="30"/>
        <v>1.0276490263150313</v>
      </c>
      <c r="L68" s="4" t="s">
        <v>15</v>
      </c>
      <c r="M68" s="4" t="s">
        <v>16</v>
      </c>
      <c r="N68" s="4" t="s">
        <v>17</v>
      </c>
      <c r="U68">
        <f t="shared" si="22"/>
        <v>7</v>
      </c>
      <c r="V68">
        <f t="shared" si="22"/>
        <v>7.1200726875188378</v>
      </c>
      <c r="W68">
        <f t="shared" si="22"/>
        <v>1.0276490263150313</v>
      </c>
      <c r="X68">
        <f t="shared" si="23"/>
        <v>6.0924236612038065</v>
      </c>
      <c r="Y68">
        <f t="shared" si="24"/>
        <v>1.0710106336064442</v>
      </c>
      <c r="Z68">
        <f t="shared" si="25"/>
        <v>3.9932813922757529</v>
      </c>
      <c r="AA68">
        <f t="shared" si="26"/>
        <v>8.1915659301318602</v>
      </c>
      <c r="AC68">
        <f t="shared" si="28"/>
        <v>7</v>
      </c>
      <c r="AD68">
        <f t="shared" si="29"/>
        <v>7.1200726875188378</v>
      </c>
      <c r="AF68">
        <v>7.3012221051820614</v>
      </c>
      <c r="AG68">
        <v>8.5019149332741044</v>
      </c>
      <c r="AH68">
        <v>7.1200726875188378</v>
      </c>
      <c r="AI68">
        <v>6.0388768293832715</v>
      </c>
    </row>
    <row r="69" spans="4:35" x14ac:dyDescent="0.35">
      <c r="D69">
        <f t="shared" si="27"/>
        <v>8</v>
      </c>
      <c r="E69">
        <f t="shared" si="21"/>
        <v>8.5019149332741044</v>
      </c>
      <c r="F69">
        <f t="shared" si="30"/>
        <v>0.99502820659601454</v>
      </c>
      <c r="I69" t="s">
        <v>51</v>
      </c>
      <c r="J69" s="11">
        <v>3</v>
      </c>
      <c r="U69">
        <f t="shared" si="22"/>
        <v>8</v>
      </c>
      <c r="V69">
        <f t="shared" si="22"/>
        <v>8.5019149332741044</v>
      </c>
      <c r="W69">
        <f t="shared" si="22"/>
        <v>0.99502820659601454</v>
      </c>
      <c r="X69">
        <f t="shared" si="23"/>
        <v>7.5068867266780899</v>
      </c>
      <c r="Y69">
        <f t="shared" si="24"/>
        <v>1.0710106336064442</v>
      </c>
      <c r="Z69">
        <f t="shared" si="25"/>
        <v>5.4077444577500362</v>
      </c>
      <c r="AA69">
        <f t="shared" si="26"/>
        <v>9.6060289956061435</v>
      </c>
      <c r="AC69">
        <f t="shared" si="28"/>
        <v>8</v>
      </c>
      <c r="AD69">
        <f t="shared" si="29"/>
        <v>8.5019149332741044</v>
      </c>
      <c r="AF69">
        <v>6.0388768293832715</v>
      </c>
      <c r="AG69">
        <v>7.3012221051820614</v>
      </c>
      <c r="AH69">
        <v>8.5019149332741044</v>
      </c>
      <c r="AI69">
        <v>4.7460896891377891</v>
      </c>
    </row>
    <row r="70" spans="4:35" x14ac:dyDescent="0.35">
      <c r="D70">
        <f t="shared" si="27"/>
        <v>9</v>
      </c>
      <c r="E70">
        <f t="shared" si="21"/>
        <v>7.3012221051820614</v>
      </c>
      <c r="F70">
        <f t="shared" si="30"/>
        <v>-0.70422235119550969</v>
      </c>
      <c r="I70" t="s">
        <v>52</v>
      </c>
      <c r="J70" s="12">
        <v>0</v>
      </c>
      <c r="L70" t="s">
        <v>53</v>
      </c>
      <c r="U70">
        <f t="shared" si="22"/>
        <v>9</v>
      </c>
      <c r="V70">
        <f t="shared" si="22"/>
        <v>7.3012221051820614</v>
      </c>
      <c r="W70">
        <f t="shared" si="22"/>
        <v>-0.70422235119550969</v>
      </c>
      <c r="X70">
        <f t="shared" si="23"/>
        <v>8.0054444563775711</v>
      </c>
      <c r="Y70">
        <f t="shared" si="24"/>
        <v>1.0710106336064442</v>
      </c>
      <c r="Z70">
        <f t="shared" si="25"/>
        <v>5.9063021874495174</v>
      </c>
      <c r="AA70">
        <f t="shared" si="26"/>
        <v>10.104586725305625</v>
      </c>
      <c r="AC70">
        <f t="shared" si="28"/>
        <v>9</v>
      </c>
      <c r="AD70">
        <f t="shared" si="29"/>
        <v>7.3012221051820614</v>
      </c>
      <c r="AF70">
        <v>4.7460896891377891</v>
      </c>
      <c r="AG70">
        <v>6.0388768293832715</v>
      </c>
      <c r="AH70">
        <v>7.3012221051820614</v>
      </c>
      <c r="AI70">
        <v>6.6536767183588417</v>
      </c>
    </row>
    <row r="71" spans="4:35" ht="15" thickBot="1" x14ac:dyDescent="0.4">
      <c r="D71">
        <f t="shared" si="27"/>
        <v>10</v>
      </c>
      <c r="E71">
        <f t="shared" si="21"/>
        <v>6.0388768293832715</v>
      </c>
      <c r="F71">
        <f t="shared" si="30"/>
        <v>-0.19981417182226657</v>
      </c>
      <c r="I71" t="s">
        <v>55</v>
      </c>
      <c r="J71" s="12">
        <v>0</v>
      </c>
      <c r="U71">
        <f t="shared" si="22"/>
        <v>10</v>
      </c>
      <c r="V71">
        <f t="shared" si="22"/>
        <v>6.0388768293832715</v>
      </c>
      <c r="W71">
        <f t="shared" si="22"/>
        <v>-0.19981417182226657</v>
      </c>
      <c r="X71">
        <f t="shared" si="23"/>
        <v>6.2386910012055381</v>
      </c>
      <c r="Y71">
        <f t="shared" si="24"/>
        <v>1.0710106336064442</v>
      </c>
      <c r="Z71">
        <f t="shared" si="25"/>
        <v>4.1395487322774844</v>
      </c>
      <c r="AA71">
        <f t="shared" si="26"/>
        <v>8.3378332701335918</v>
      </c>
      <c r="AC71">
        <f t="shared" si="28"/>
        <v>10</v>
      </c>
      <c r="AD71">
        <f t="shared" si="29"/>
        <v>6.0388768293832715</v>
      </c>
      <c r="AF71">
        <v>6.6536767183588417</v>
      </c>
      <c r="AG71">
        <v>4.7460896891377891</v>
      </c>
      <c r="AH71">
        <v>6.0388768293832715</v>
      </c>
      <c r="AI71">
        <v>8.1939759194869595</v>
      </c>
    </row>
    <row r="72" spans="4:35" ht="15" thickTop="1" x14ac:dyDescent="0.35">
      <c r="D72">
        <f t="shared" si="27"/>
        <v>11</v>
      </c>
      <c r="E72">
        <f t="shared" si="21"/>
        <v>4.7460896891377891</v>
      </c>
      <c r="F72">
        <f t="shared" si="30"/>
        <v>-1.5877128050344576</v>
      </c>
      <c r="I72" t="s">
        <v>61</v>
      </c>
      <c r="J72" s="12">
        <f>AVERAGE(F65:F81)</f>
        <v>5.3773360653897588E-2</v>
      </c>
      <c r="L72" s="4" t="s">
        <v>12</v>
      </c>
      <c r="M72" s="4" t="s">
        <v>62</v>
      </c>
      <c r="U72">
        <f t="shared" si="22"/>
        <v>11</v>
      </c>
      <c r="V72">
        <f t="shared" si="22"/>
        <v>4.7460896891377891</v>
      </c>
      <c r="W72">
        <f t="shared" si="22"/>
        <v>-1.5877128050344576</v>
      </c>
      <c r="X72">
        <f t="shared" si="23"/>
        <v>6.3338024941722466</v>
      </c>
      <c r="Y72">
        <f t="shared" si="24"/>
        <v>1.0710106336064442</v>
      </c>
      <c r="Z72">
        <f t="shared" si="25"/>
        <v>4.2346602252441929</v>
      </c>
      <c r="AA72">
        <f t="shared" si="26"/>
        <v>8.4329447631003003</v>
      </c>
      <c r="AC72">
        <f t="shared" si="28"/>
        <v>11</v>
      </c>
      <c r="AD72">
        <f t="shared" si="29"/>
        <v>4.7460896891377891</v>
      </c>
      <c r="AF72">
        <v>8.1939759194869595</v>
      </c>
      <c r="AG72">
        <v>6.6536767183588417</v>
      </c>
      <c r="AH72">
        <v>4.7460896891377891</v>
      </c>
      <c r="AI72">
        <v>7.5602635334693442</v>
      </c>
    </row>
    <row r="73" spans="4:35" x14ac:dyDescent="0.35">
      <c r="D73">
        <f t="shared" si="27"/>
        <v>12</v>
      </c>
      <c r="E73">
        <f t="shared" si="21"/>
        <v>6.6536767183588417</v>
      </c>
      <c r="F73">
        <f t="shared" si="30"/>
        <v>1.5714981045901473</v>
      </c>
      <c r="I73" t="s">
        <v>64</v>
      </c>
      <c r="J73" s="12">
        <f>STDEV(F65:F81)</f>
        <v>1.0003042074414423</v>
      </c>
      <c r="L73" s="7">
        <v>0</v>
      </c>
      <c r="M73" s="7">
        <f t="array" ref="M73:M77">[2]!PSICoeff(I62:I64)</f>
        <v>1</v>
      </c>
      <c r="U73">
        <f t="shared" si="22"/>
        <v>12</v>
      </c>
      <c r="V73">
        <f t="shared" si="22"/>
        <v>6.6536767183588417</v>
      </c>
      <c r="W73">
        <f t="shared" si="22"/>
        <v>1.5714981045901473</v>
      </c>
      <c r="X73">
        <f t="shared" si="23"/>
        <v>5.0821786137686944</v>
      </c>
      <c r="Y73">
        <f t="shared" si="24"/>
        <v>1.0710106336064442</v>
      </c>
      <c r="Z73">
        <f t="shared" si="25"/>
        <v>2.9830363448406407</v>
      </c>
      <c r="AA73">
        <f t="shared" si="26"/>
        <v>7.1813208826967481</v>
      </c>
      <c r="AC73">
        <f t="shared" si="28"/>
        <v>12</v>
      </c>
      <c r="AD73">
        <f t="shared" si="29"/>
        <v>6.6536767183588417</v>
      </c>
      <c r="AF73">
        <v>7.5602635334693442</v>
      </c>
      <c r="AG73">
        <v>8.1939759194869595</v>
      </c>
      <c r="AH73">
        <v>6.6536767183588417</v>
      </c>
      <c r="AI73">
        <v>6.794451297136205</v>
      </c>
    </row>
    <row r="74" spans="4:35" x14ac:dyDescent="0.35">
      <c r="D74">
        <f t="shared" si="27"/>
        <v>13</v>
      </c>
      <c r="E74">
        <f t="shared" si="21"/>
        <v>8.1939759194869595</v>
      </c>
      <c r="F74">
        <f t="shared" si="30"/>
        <v>0.54029477011513016</v>
      </c>
      <c r="I74" t="s">
        <v>66</v>
      </c>
      <c r="J74" s="12">
        <f>SQRT(J67/(J77-J69))</f>
        <v>1.0710106336064442</v>
      </c>
      <c r="L74">
        <f>L73+1</f>
        <v>1</v>
      </c>
      <c r="M74">
        <v>1.1977138188847922</v>
      </c>
      <c r="U74">
        <f t="shared" si="22"/>
        <v>13</v>
      </c>
      <c r="V74">
        <f t="shared" si="22"/>
        <v>8.1939759194869595</v>
      </c>
      <c r="W74">
        <f t="shared" si="22"/>
        <v>0.54029477011513016</v>
      </c>
      <c r="X74">
        <f t="shared" si="23"/>
        <v>7.6536811493718293</v>
      </c>
      <c r="Y74">
        <f t="shared" si="24"/>
        <v>1.0710106336064442</v>
      </c>
      <c r="Z74">
        <f t="shared" si="25"/>
        <v>5.5545388804437756</v>
      </c>
      <c r="AA74">
        <f t="shared" si="26"/>
        <v>9.752823418299883</v>
      </c>
      <c r="AC74">
        <f t="shared" si="28"/>
        <v>13</v>
      </c>
      <c r="AD74">
        <f t="shared" si="29"/>
        <v>8.1939759194869595</v>
      </c>
      <c r="AF74">
        <v>6.794451297136205</v>
      </c>
      <c r="AG74">
        <v>7.5602635334693442</v>
      </c>
      <c r="AH74">
        <v>8.1939759194869595</v>
      </c>
      <c r="AI74">
        <v>4.7244665351583883</v>
      </c>
    </row>
    <row r="75" spans="4:35" x14ac:dyDescent="0.35">
      <c r="D75">
        <f t="shared" si="27"/>
        <v>14</v>
      </c>
      <c r="E75">
        <f t="shared" si="21"/>
        <v>7.5602635334693442</v>
      </c>
      <c r="F75">
        <f t="shared" si="30"/>
        <v>0.14114510401591218</v>
      </c>
      <c r="I75" t="s">
        <v>68</v>
      </c>
      <c r="J75" s="12">
        <f>AVERAGE(E65:E81)</f>
        <v>6.6860051522260298</v>
      </c>
      <c r="L75">
        <f>L74+1</f>
        <v>2</v>
      </c>
      <c r="M75">
        <v>0.70017272833932709</v>
      </c>
      <c r="U75">
        <f t="shared" si="22"/>
        <v>14</v>
      </c>
      <c r="V75">
        <f t="shared" si="22"/>
        <v>7.5602635334693442</v>
      </c>
      <c r="W75">
        <f t="shared" si="22"/>
        <v>0.14114510401591218</v>
      </c>
      <c r="X75">
        <f t="shared" si="23"/>
        <v>7.419118429453432</v>
      </c>
      <c r="Y75">
        <f t="shared" si="24"/>
        <v>1.0710106336064442</v>
      </c>
      <c r="Z75">
        <f t="shared" si="25"/>
        <v>5.3199761605253784</v>
      </c>
      <c r="AA75">
        <f t="shared" si="26"/>
        <v>9.5182606983814857</v>
      </c>
      <c r="AC75">
        <f t="shared" si="28"/>
        <v>14</v>
      </c>
      <c r="AD75">
        <f t="shared" si="29"/>
        <v>7.5602635334693442</v>
      </c>
      <c r="AF75">
        <v>4.7244665351583883</v>
      </c>
      <c r="AG75">
        <v>6.794451297136205</v>
      </c>
      <c r="AH75">
        <v>7.5602635334693442</v>
      </c>
      <c r="AI75">
        <v>6.0271551265385801</v>
      </c>
    </row>
    <row r="76" spans="4:35" x14ac:dyDescent="0.35">
      <c r="D76">
        <f t="shared" si="27"/>
        <v>15</v>
      </c>
      <c r="E76">
        <f t="shared" si="21"/>
        <v>6.794451297136205</v>
      </c>
      <c r="F76">
        <f t="shared" si="30"/>
        <v>0.26417607846914049</v>
      </c>
      <c r="I76" t="s">
        <v>69</v>
      </c>
      <c r="J76" s="12">
        <f>STDEV(E65:E81)</f>
        <v>1.0288640167189751</v>
      </c>
      <c r="L76">
        <f>L75+1</f>
        <v>3</v>
      </c>
      <c r="M76">
        <v>0.48396141804022685</v>
      </c>
      <c r="U76">
        <f t="shared" si="22"/>
        <v>15</v>
      </c>
      <c r="V76">
        <f t="shared" si="22"/>
        <v>6.794451297136205</v>
      </c>
      <c r="W76">
        <f t="shared" si="22"/>
        <v>0.26417607846914049</v>
      </c>
      <c r="X76">
        <f t="shared" si="23"/>
        <v>6.5302752186670645</v>
      </c>
      <c r="Y76">
        <f t="shared" si="24"/>
        <v>1.0710106336064442</v>
      </c>
      <c r="Z76">
        <f t="shared" si="25"/>
        <v>4.4311329497390108</v>
      </c>
      <c r="AA76">
        <f t="shared" si="26"/>
        <v>8.6294174875951182</v>
      </c>
      <c r="AC76">
        <f t="shared" si="28"/>
        <v>15</v>
      </c>
      <c r="AD76">
        <f t="shared" si="29"/>
        <v>6.794451297136205</v>
      </c>
      <c r="AF76">
        <v>6.0271551265385801</v>
      </c>
      <c r="AG76">
        <v>4.7244665351583883</v>
      </c>
      <c r="AH76">
        <v>6.794451297136205</v>
      </c>
      <c r="AI76">
        <v>7.1259100258620851</v>
      </c>
    </row>
    <row r="77" spans="4:35" x14ac:dyDescent="0.35">
      <c r="D77">
        <f t="shared" si="27"/>
        <v>16</v>
      </c>
      <c r="E77">
        <f t="shared" si="21"/>
        <v>4.7244665351583883</v>
      </c>
      <c r="F77">
        <f t="shared" si="30"/>
        <v>-2.1624376308115139</v>
      </c>
      <c r="I77" t="s">
        <v>74</v>
      </c>
      <c r="J77" s="13">
        <f>COUNT(E65:E81)</f>
        <v>17</v>
      </c>
      <c r="L77" s="5">
        <f>L76+1</f>
        <v>4</v>
      </c>
      <c r="M77" s="5">
        <v>0.6941474537050929</v>
      </c>
      <c r="U77">
        <f t="shared" si="22"/>
        <v>16</v>
      </c>
      <c r="V77">
        <f t="shared" si="22"/>
        <v>4.7244665351583883</v>
      </c>
      <c r="W77">
        <f t="shared" si="22"/>
        <v>-2.1624376308115139</v>
      </c>
      <c r="X77">
        <f t="shared" si="23"/>
        <v>6.8869041659699022</v>
      </c>
      <c r="Y77">
        <f t="shared" si="24"/>
        <v>1.0710106336064442</v>
      </c>
      <c r="Z77">
        <f t="shared" si="25"/>
        <v>4.7877618970418485</v>
      </c>
      <c r="AA77">
        <f t="shared" si="26"/>
        <v>8.9860464348979558</v>
      </c>
      <c r="AC77">
        <f t="shared" si="28"/>
        <v>16</v>
      </c>
      <c r="AD77">
        <f t="shared" si="29"/>
        <v>4.7244665351583883</v>
      </c>
      <c r="AF77">
        <v>7.1259100258620851</v>
      </c>
      <c r="AG77">
        <v>6.0271551265385801</v>
      </c>
      <c r="AH77">
        <v>4.7244665351583883</v>
      </c>
      <c r="AI77">
        <v>7.1912478294921529</v>
      </c>
    </row>
    <row r="78" spans="4:35" x14ac:dyDescent="0.35">
      <c r="D78">
        <f t="shared" si="27"/>
        <v>17</v>
      </c>
      <c r="E78">
        <f t="shared" si="21"/>
        <v>6.0271551265385801</v>
      </c>
      <c r="F78">
        <f t="shared" si="30"/>
        <v>1.3897592306543922</v>
      </c>
      <c r="U78">
        <f t="shared" si="22"/>
        <v>17</v>
      </c>
      <c r="V78">
        <f t="shared" si="22"/>
        <v>6.0271551265385801</v>
      </c>
      <c r="W78">
        <f t="shared" si="22"/>
        <v>1.3897592306543922</v>
      </c>
      <c r="X78">
        <f t="shared" si="23"/>
        <v>4.6373958958841879</v>
      </c>
      <c r="Y78">
        <f t="shared" si="24"/>
        <v>1.0710106336064442</v>
      </c>
      <c r="Z78">
        <f t="shared" si="25"/>
        <v>2.5382536269561342</v>
      </c>
      <c r="AA78">
        <f t="shared" si="26"/>
        <v>6.7365381648122415</v>
      </c>
      <c r="AC78">
        <f t="shared" si="28"/>
        <v>17</v>
      </c>
      <c r="AD78">
        <f t="shared" si="29"/>
        <v>6.0271551265385801</v>
      </c>
      <c r="AF78" s="5">
        <v>7.1912478294921529</v>
      </c>
      <c r="AG78" s="5">
        <v>7.1259100258620851</v>
      </c>
      <c r="AH78" s="5">
        <v>6.0271551265385801</v>
      </c>
      <c r="AI78" s="5">
        <v>6.6826916383449895</v>
      </c>
    </row>
    <row r="79" spans="4:35" x14ac:dyDescent="0.35">
      <c r="D79">
        <f t="shared" si="27"/>
        <v>18</v>
      </c>
      <c r="E79">
        <f t="shared" si="21"/>
        <v>7.1259100258620851</v>
      </c>
      <c r="F79">
        <f t="shared" si="30"/>
        <v>-0.18985052256915047</v>
      </c>
      <c r="I79" t="s">
        <v>76</v>
      </c>
      <c r="J79" s="11">
        <f>-(J82-2*(J69+J70))/2</f>
        <v>-23.63787518321266</v>
      </c>
      <c r="U79">
        <f t="shared" si="22"/>
        <v>18</v>
      </c>
      <c r="V79">
        <f t="shared" si="22"/>
        <v>7.1259100258620851</v>
      </c>
      <c r="W79">
        <f t="shared" si="22"/>
        <v>-0.18985052256915047</v>
      </c>
      <c r="X79">
        <f t="shared" si="23"/>
        <v>7.3157605484312356</v>
      </c>
      <c r="Y79">
        <f t="shared" si="24"/>
        <v>1.0710106336064442</v>
      </c>
      <c r="Z79">
        <f t="shared" si="25"/>
        <v>5.2166182795031819</v>
      </c>
      <c r="AA79">
        <f t="shared" si="26"/>
        <v>9.4149028173592892</v>
      </c>
      <c r="AC79">
        <f t="shared" si="28"/>
        <v>18</v>
      </c>
      <c r="AD79">
        <f t="shared" si="29"/>
        <v>7.1259100258620851</v>
      </c>
    </row>
    <row r="80" spans="4:35" x14ac:dyDescent="0.35">
      <c r="D80">
        <f t="shared" si="27"/>
        <v>19</v>
      </c>
      <c r="E80">
        <f t="shared" si="21"/>
        <v>7.1912478294921529</v>
      </c>
      <c r="F80">
        <f t="shared" si="30"/>
        <v>0.60263306111434822</v>
      </c>
      <c r="I80" t="s">
        <v>38</v>
      </c>
      <c r="J80" s="12">
        <f>J77*LN(J67/J77)+2*(J69+J70)</f>
        <v>5.0318402374664482</v>
      </c>
      <c r="U80">
        <f t="shared" si="22"/>
        <v>19</v>
      </c>
      <c r="V80">
        <f t="shared" si="22"/>
        <v>7.1912478294921529</v>
      </c>
      <c r="W80">
        <f t="shared" si="22"/>
        <v>0.60263306111434822</v>
      </c>
      <c r="X80">
        <f t="shared" si="23"/>
        <v>6.5886147683778047</v>
      </c>
      <c r="Y80">
        <f t="shared" si="24"/>
        <v>1.0710106336064442</v>
      </c>
      <c r="Z80">
        <f t="shared" si="25"/>
        <v>4.489472499449751</v>
      </c>
      <c r="AA80">
        <f t="shared" si="26"/>
        <v>8.6877570373058575</v>
      </c>
      <c r="AC80">
        <f t="shared" si="28"/>
        <v>19</v>
      </c>
      <c r="AD80">
        <f t="shared" si="29"/>
        <v>7.1912478294921529</v>
      </c>
    </row>
    <row r="81" spans="4:30" x14ac:dyDescent="0.35">
      <c r="D81" s="5">
        <f t="shared" si="27"/>
        <v>20</v>
      </c>
      <c r="E81" s="5">
        <f t="shared" si="21"/>
        <v>6.6826916383449895</v>
      </c>
      <c r="F81" s="5">
        <f t="shared" si="30"/>
        <v>0.13891749913329576</v>
      </c>
      <c r="I81" t="s">
        <v>77</v>
      </c>
      <c r="J81" s="12">
        <f>J77*LN(J67/J77)+LN(J77)*(J69+J70)</f>
        <v>7.5314802696350975</v>
      </c>
      <c r="U81">
        <f t="shared" si="22"/>
        <v>20</v>
      </c>
      <c r="V81">
        <f t="shared" si="22"/>
        <v>6.6826916383449895</v>
      </c>
      <c r="W81">
        <f t="shared" si="22"/>
        <v>0.13891749913329576</v>
      </c>
      <c r="X81">
        <f t="shared" si="23"/>
        <v>6.5437741392116937</v>
      </c>
      <c r="Y81">
        <f t="shared" si="24"/>
        <v>1.0710106336064442</v>
      </c>
      <c r="Z81">
        <f t="shared" si="25"/>
        <v>4.44463187028364</v>
      </c>
      <c r="AA81">
        <f t="shared" si="26"/>
        <v>8.6429164081397474</v>
      </c>
      <c r="AC81" s="5">
        <f t="shared" si="28"/>
        <v>20</v>
      </c>
      <c r="AD81" s="5">
        <f t="shared" si="29"/>
        <v>6.6826916383449895</v>
      </c>
    </row>
    <row r="82" spans="4:30" x14ac:dyDescent="0.35">
      <c r="I82" t="s">
        <v>78</v>
      </c>
      <c r="J82" s="12">
        <f>J77*(1+LN(2*PI()))+J80</f>
        <v>53.275750366425321</v>
      </c>
      <c r="U82">
        <f>U81+1</f>
        <v>21</v>
      </c>
      <c r="X82">
        <f>SUMPRODUCT(V79:V81,I$62:I$64)</f>
        <v>6.4634151830493032</v>
      </c>
      <c r="Y82">
        <f>J$74*SQRT(SUMSQ(M$73:M73))</f>
        <v>1.0710106336064442</v>
      </c>
      <c r="Z82">
        <f>X82-NORMSINV(1-Y$60/2)*Y82</f>
        <v>4.3642729141212495</v>
      </c>
      <c r="AA82">
        <f>X82+NORMSINV(1-Y$60/2)*Y82</f>
        <v>8.5625574519773568</v>
      </c>
      <c r="AC82">
        <f t="shared" si="28"/>
        <v>21</v>
      </c>
      <c r="AD82">
        <f>X82</f>
        <v>6.4634151830493032</v>
      </c>
    </row>
    <row r="83" spans="4:30" x14ac:dyDescent="0.35">
      <c r="I83" t="s">
        <v>79</v>
      </c>
      <c r="J83" s="13">
        <f>J77*(1+LN(2*PI()))+J81</f>
        <v>55.77539039859397</v>
      </c>
      <c r="U83">
        <f>U82+1</f>
        <v>22</v>
      </c>
      <c r="X83">
        <f>SUMPRODUCT(V80:V81,I62:I63)+SUMPRODUCT(X82,I64)</f>
        <v>6.6085359890431246</v>
      </c>
      <c r="Y83">
        <f>J$74*SQRT(SUMSQ(M$73:M74))</f>
        <v>1.6710918175160352</v>
      </c>
      <c r="Z83">
        <f>X83-NORMSINV(1-Y$60/2)*Y83</f>
        <v>3.3332562118521163</v>
      </c>
      <c r="AA83">
        <f>X83+NORMSINV(1-Y$60/2)*Y83</f>
        <v>9.8838157662341324</v>
      </c>
      <c r="AC83">
        <f t="shared" si="28"/>
        <v>22</v>
      </c>
      <c r="AD83">
        <f>X83</f>
        <v>6.6085359890431246</v>
      </c>
    </row>
    <row r="84" spans="4:30" x14ac:dyDescent="0.35">
      <c r="U84">
        <f>U83+1</f>
        <v>23</v>
      </c>
      <c r="X84">
        <f>SUMPRODUCT(V81,I62)+SUMPRODUCT(X82:X83,I63:I64)</f>
        <v>6.6764374243023639</v>
      </c>
      <c r="Y84">
        <f>J$74*SQRT(SUMSQ(M$73:M75))</f>
        <v>1.8316349336747593</v>
      </c>
      <c r="Z84">
        <f>X84-NORMSINV(1-Y$60/2)*Y84</f>
        <v>3.0864989214744258</v>
      </c>
      <c r="AA84">
        <f>X84+NORMSINV(1-Y$60/2)*Y84</f>
        <v>10.266375927130301</v>
      </c>
      <c r="AC84">
        <f t="shared" si="28"/>
        <v>23</v>
      </c>
      <c r="AD84">
        <f>X84</f>
        <v>6.6764374243023639</v>
      </c>
    </row>
    <row r="85" spans="4:30" x14ac:dyDescent="0.35">
      <c r="U85">
        <f>U84+1</f>
        <v>24</v>
      </c>
      <c r="X85">
        <f>SUMPRODUCT(X82:X84,I62:I64)</f>
        <v>6.5360988797573771</v>
      </c>
      <c r="Y85">
        <f>J$74*SQRT(SUMSQ(M$73:M76))</f>
        <v>1.9035625191735728</v>
      </c>
      <c r="Z85">
        <f>X85-NORMSINV(1-Y$60/2)*Y85</f>
        <v>2.8051848998568394</v>
      </c>
      <c r="AA85">
        <f>X85+NORMSINV(1-Y$60/2)*Y85</f>
        <v>10.267012859657914</v>
      </c>
      <c r="AC85">
        <f t="shared" si="28"/>
        <v>24</v>
      </c>
      <c r="AD85">
        <f>X85</f>
        <v>6.5360988797573771</v>
      </c>
    </row>
    <row r="86" spans="4:30" x14ac:dyDescent="0.35">
      <c r="U86" s="5">
        <f>U85+1</f>
        <v>25</v>
      </c>
      <c r="V86" s="5"/>
      <c r="W86" s="5"/>
      <c r="X86" s="5">
        <f>SUMPRODUCT(X83:X85,I62:I64)</f>
        <v>6.3943229192071396</v>
      </c>
      <c r="Y86" s="5">
        <f>J$74*SQRT(SUMSQ(M$73:M77))</f>
        <v>2.0435880855605877</v>
      </c>
      <c r="Z86" s="5">
        <f>X86-NORMSINV(1-Y$60/2)*Y86</f>
        <v>2.38896387227323</v>
      </c>
      <c r="AA86" s="5">
        <f>X86+NORMSINV(1-Y$60/2)*Y86</f>
        <v>10.399681966141049</v>
      </c>
      <c r="AC86" s="5">
        <f t="shared" si="28"/>
        <v>25</v>
      </c>
      <c r="AD86" s="5">
        <f>X86</f>
        <v>6.3943229192071396</v>
      </c>
    </row>
    <row r="88" spans="4:30" x14ac:dyDescent="0.35">
      <c r="D88" t="s">
        <v>80</v>
      </c>
      <c r="H88" t="s">
        <v>2</v>
      </c>
      <c r="L88" t="s">
        <v>3</v>
      </c>
      <c r="P88" t="s">
        <v>4</v>
      </c>
      <c r="U88" t="s">
        <v>5</v>
      </c>
      <c r="AC88" t="s">
        <v>6</v>
      </c>
    </row>
    <row r="89" spans="4:30" ht="15" thickBot="1" x14ac:dyDescent="0.4">
      <c r="X89" t="s">
        <v>7</v>
      </c>
      <c r="Y89">
        <v>0.05</v>
      </c>
    </row>
    <row r="90" spans="4:30" ht="15" thickTop="1" x14ac:dyDescent="0.35">
      <c r="D90" s="4" t="s">
        <v>9</v>
      </c>
      <c r="E90" s="4" t="s">
        <v>10</v>
      </c>
      <c r="F90" s="4" t="s">
        <v>11</v>
      </c>
      <c r="H90" s="4" t="s">
        <v>12</v>
      </c>
      <c r="I90" s="4" t="s">
        <v>13</v>
      </c>
      <c r="J90" s="4" t="s">
        <v>14</v>
      </c>
      <c r="L90" s="4" t="s">
        <v>15</v>
      </c>
      <c r="M90" s="4" t="s">
        <v>16</v>
      </c>
      <c r="N90" s="4" t="s">
        <v>17</v>
      </c>
      <c r="P90" s="4" t="s">
        <v>18</v>
      </c>
      <c r="Q90" s="4" t="s">
        <v>19</v>
      </c>
      <c r="R90" s="4" t="s">
        <v>20</v>
      </c>
      <c r="S90" s="4" t="s">
        <v>21</v>
      </c>
      <c r="U90" s="4" t="s">
        <v>9</v>
      </c>
      <c r="V90" s="4" t="s">
        <v>10</v>
      </c>
      <c r="W90" s="4" t="s">
        <v>11</v>
      </c>
      <c r="X90" s="4" t="s">
        <v>22</v>
      </c>
      <c r="Y90" s="4" t="s">
        <v>23</v>
      </c>
      <c r="Z90" s="4" t="s">
        <v>24</v>
      </c>
      <c r="AA90" s="4" t="s">
        <v>25</v>
      </c>
      <c r="AC90" s="4" t="s">
        <v>9</v>
      </c>
      <c r="AD90" s="4" t="s">
        <v>26</v>
      </c>
    </row>
    <row r="91" spans="4:30" x14ac:dyDescent="0.35">
      <c r="D91">
        <v>1</v>
      </c>
      <c r="E91">
        <f>B4</f>
        <v>4.5267574698597484</v>
      </c>
      <c r="F91">
        <v>0</v>
      </c>
      <c r="H91" s="2">
        <v>3</v>
      </c>
      <c r="I91">
        <v>0.52489081484369016</v>
      </c>
      <c r="J91">
        <v>0</v>
      </c>
      <c r="L91">
        <f t="array" ref="L91:N93">[2]!ARRoots(I91:I93)</f>
        <v>0.19504530480233631</v>
      </c>
      <c r="M91">
        <v>-1.3602235335808901</v>
      </c>
      <c r="N91">
        <v>1.3741363586750477</v>
      </c>
      <c r="P91" t="s">
        <v>29</v>
      </c>
      <c r="Q91">
        <f>I93</f>
        <v>1.1977138188847922</v>
      </c>
      <c r="R91">
        <f>[2]!ARMA_SSE(E91:E110,Q91:Q93,,0,1)</f>
        <v>1168.2805351929237</v>
      </c>
      <c r="S91">
        <f>CHIDIST(J106*(LN(R91)-LN(J96)),1)</f>
        <v>1.3781680684311838E-17</v>
      </c>
      <c r="U91">
        <f>D91</f>
        <v>1</v>
      </c>
      <c r="V91">
        <f>E91</f>
        <v>4.5267574698597484</v>
      </c>
      <c r="W91">
        <f>F91</f>
        <v>0</v>
      </c>
      <c r="X91">
        <f>V91-W91</f>
        <v>4.5267574698597484</v>
      </c>
      <c r="Y91">
        <f>J$103</f>
        <v>0.97192631293472387</v>
      </c>
      <c r="Z91">
        <f>X91-NORMSINV(1-Y$89/2)*Y91</f>
        <v>2.621816900880884</v>
      </c>
      <c r="AA91">
        <f>X91+NORMSINV(1-Y$89/2)*Y91</f>
        <v>6.4316980388386131</v>
      </c>
      <c r="AC91">
        <v>1</v>
      </c>
      <c r="AD91">
        <f>B4</f>
        <v>4.5267574698597484</v>
      </c>
    </row>
    <row r="92" spans="4:30" x14ac:dyDescent="0.35">
      <c r="D92">
        <f>D91+1</f>
        <v>2</v>
      </c>
      <c r="E92">
        <f t="shared" ref="E92:E110" si="31">B5</f>
        <v>6.893370777512497</v>
      </c>
      <c r="F92">
        <v>0</v>
      </c>
      <c r="H92" s="2">
        <f>H91-1</f>
        <v>2</v>
      </c>
      <c r="I92">
        <v>-0.7343456636082657</v>
      </c>
      <c r="J92">
        <v>0</v>
      </c>
      <c r="L92">
        <v>0.19504530480233631</v>
      </c>
      <c r="M92">
        <v>1.3602235335808901</v>
      </c>
      <c r="N92">
        <v>1.3741363586750477</v>
      </c>
      <c r="P92" t="s">
        <v>30</v>
      </c>
      <c r="Q92">
        <f>I92</f>
        <v>-0.7343456636082657</v>
      </c>
      <c r="R92">
        <f>[2]!ARMA_SSE(E91:E110,Q91:Q93,,0,2)</f>
        <v>446.93895155929363</v>
      </c>
      <c r="S92">
        <f>CHIDIST(J106*(LN(R92)-LN(J96)),1)</f>
        <v>5.4935056943915584E-14</v>
      </c>
      <c r="U92">
        <f t="shared" ref="U92:W110" si="32">D92</f>
        <v>2</v>
      </c>
      <c r="V92">
        <f t="shared" si="32"/>
        <v>6.893370777512497</v>
      </c>
      <c r="W92">
        <f t="shared" si="32"/>
        <v>0</v>
      </c>
      <c r="X92">
        <f t="shared" ref="X92:X110" si="33">V92-W92</f>
        <v>6.893370777512497</v>
      </c>
      <c r="Y92">
        <f t="shared" ref="Y92:Y110" si="34">J$103</f>
        <v>0.97192631293472387</v>
      </c>
      <c r="Z92">
        <f t="shared" ref="Z92:Z110" si="35">X92-NORMSINV(1-Y$89/2)*Y92</f>
        <v>4.9884302085336323</v>
      </c>
      <c r="AA92">
        <f t="shared" ref="AA92:AA110" si="36">X92+NORMSINV(1-Y$89/2)*Y92</f>
        <v>8.7983113464913618</v>
      </c>
      <c r="AC92">
        <f>AC91+1</f>
        <v>2</v>
      </c>
      <c r="AD92">
        <f>B5</f>
        <v>6.893370777512497</v>
      </c>
    </row>
    <row r="93" spans="4:30" x14ac:dyDescent="0.35">
      <c r="D93">
        <f t="shared" ref="D93:D110" si="37">D92+1</f>
        <v>3</v>
      </c>
      <c r="E93">
        <f t="shared" si="31"/>
        <v>8.4253951175675805</v>
      </c>
      <c r="F93">
        <v>0</v>
      </c>
      <c r="H93" s="2">
        <f>H92-1</f>
        <v>1</v>
      </c>
      <c r="I93">
        <v>1.1977138188847922</v>
      </c>
      <c r="J93">
        <v>0</v>
      </c>
      <c r="L93" s="5">
        <v>1.0089539970855617</v>
      </c>
      <c r="M93" s="5">
        <v>0</v>
      </c>
      <c r="N93" s="5">
        <v>1.0089539970855617</v>
      </c>
      <c r="P93" t="s">
        <v>36</v>
      </c>
      <c r="Q93">
        <f>I91</f>
        <v>0.52489081484369016</v>
      </c>
      <c r="R93">
        <f>[2]!ARMA_SSE(E91:E110,Q91:Q93,,0,3)</f>
        <v>227.85147525764688</v>
      </c>
      <c r="S93">
        <f>CHIDIST(J106*(LN(R93)-LN(J96)),1)</f>
        <v>1.8805606143663495E-11</v>
      </c>
      <c r="U93">
        <f t="shared" si="32"/>
        <v>3</v>
      </c>
      <c r="V93">
        <f t="shared" si="32"/>
        <v>8.4253951175675805</v>
      </c>
      <c r="W93">
        <f t="shared" si="32"/>
        <v>0</v>
      </c>
      <c r="X93">
        <f t="shared" si="33"/>
        <v>8.4253951175675805</v>
      </c>
      <c r="Y93">
        <f t="shared" si="34"/>
        <v>0.97192631293472387</v>
      </c>
      <c r="Z93">
        <f t="shared" si="35"/>
        <v>6.5204545485887166</v>
      </c>
      <c r="AA93">
        <f t="shared" si="36"/>
        <v>10.330335686546444</v>
      </c>
      <c r="AC93">
        <f t="shared" ref="AC93:AC115" si="38">AC92+1</f>
        <v>3</v>
      </c>
      <c r="AD93">
        <f t="shared" ref="AD93:AD110" si="39">B6</f>
        <v>8.4253951175675805</v>
      </c>
    </row>
    <row r="94" spans="4:30" x14ac:dyDescent="0.35">
      <c r="D94">
        <f t="shared" si="37"/>
        <v>4</v>
      </c>
      <c r="E94">
        <f t="shared" si="31"/>
        <v>6.999502086988997</v>
      </c>
      <c r="F94">
        <f>E94-SUMPRODUCT(E91:E93,I$91:I$93)</f>
        <v>-0.40564655373035663</v>
      </c>
      <c r="H94" s="8" t="s">
        <v>39</v>
      </c>
      <c r="I94" s="5">
        <v>0</v>
      </c>
      <c r="J94" s="5">
        <v>0</v>
      </c>
      <c r="P94" s="5" t="s">
        <v>43</v>
      </c>
      <c r="Q94" s="5">
        <f>J104</f>
        <v>6.6860051522260298</v>
      </c>
      <c r="R94" s="5">
        <f>-Q94/(J105/SQRT(J106))</f>
        <v>-26.793730763335184</v>
      </c>
      <c r="S94" s="5">
        <f>TDIST(ABS(R94),J106-1,2)</f>
        <v>1.0120327521144312E-14</v>
      </c>
      <c r="U94">
        <f t="shared" si="32"/>
        <v>4</v>
      </c>
      <c r="V94">
        <f t="shared" si="32"/>
        <v>6.999502086988997</v>
      </c>
      <c r="W94">
        <f t="shared" si="32"/>
        <v>-0.40564655373035663</v>
      </c>
      <c r="X94">
        <f t="shared" si="33"/>
        <v>7.4051486407193536</v>
      </c>
      <c r="Y94">
        <f t="shared" si="34"/>
        <v>0.97192631293472387</v>
      </c>
      <c r="Z94">
        <f t="shared" si="35"/>
        <v>5.5002080717404898</v>
      </c>
      <c r="AA94">
        <f t="shared" si="36"/>
        <v>9.3100892096982175</v>
      </c>
      <c r="AC94">
        <f t="shared" si="38"/>
        <v>4</v>
      </c>
      <c r="AD94">
        <f t="shared" si="39"/>
        <v>6.999502086988997</v>
      </c>
    </row>
    <row r="95" spans="4:30" x14ac:dyDescent="0.35">
      <c r="D95">
        <f t="shared" si="37"/>
        <v>5</v>
      </c>
      <c r="E95">
        <f t="shared" si="31"/>
        <v>6.1875941616300834</v>
      </c>
      <c r="F95">
        <f t="shared" ref="F95:F110" si="40">E95-SUMPRODUCT(E92:E94,I$91:I$93)</f>
        <v>0.37307915107420886</v>
      </c>
      <c r="L95" t="s">
        <v>42</v>
      </c>
      <c r="U95">
        <f t="shared" si="32"/>
        <v>5</v>
      </c>
      <c r="V95">
        <f t="shared" si="32"/>
        <v>6.1875941616300834</v>
      </c>
      <c r="W95">
        <f t="shared" si="32"/>
        <v>0.37307915107420886</v>
      </c>
      <c r="X95">
        <f t="shared" si="33"/>
        <v>5.8145150105558745</v>
      </c>
      <c r="Y95">
        <f t="shared" si="34"/>
        <v>0.97192631293472387</v>
      </c>
      <c r="Z95">
        <f t="shared" si="35"/>
        <v>3.9095744415770102</v>
      </c>
      <c r="AA95">
        <f t="shared" si="36"/>
        <v>7.7194555795347384</v>
      </c>
      <c r="AC95">
        <f t="shared" si="38"/>
        <v>5</v>
      </c>
      <c r="AD95">
        <f t="shared" si="39"/>
        <v>6.1875941616300834</v>
      </c>
    </row>
    <row r="96" spans="4:30" ht="15" thickBot="1" x14ac:dyDescent="0.4">
      <c r="D96">
        <f t="shared" si="37"/>
        <v>6</v>
      </c>
      <c r="E96">
        <f t="shared" si="31"/>
        <v>5.8129764708798239</v>
      </c>
      <c r="F96">
        <f t="shared" si="40"/>
        <v>-0.88034906579810723</v>
      </c>
      <c r="I96" t="s">
        <v>46</v>
      </c>
      <c r="J96" s="9">
        <f>SUMSQ(F94:F110)</f>
        <v>16.058892882173076</v>
      </c>
      <c r="P96" t="s">
        <v>48</v>
      </c>
      <c r="Q96" s="10" t="s">
        <v>49</v>
      </c>
      <c r="U96">
        <f t="shared" si="32"/>
        <v>6</v>
      </c>
      <c r="V96">
        <f t="shared" si="32"/>
        <v>5.8129764708798239</v>
      </c>
      <c r="W96">
        <f t="shared" si="32"/>
        <v>-0.88034906579810723</v>
      </c>
      <c r="X96">
        <f t="shared" si="33"/>
        <v>6.6933255366779312</v>
      </c>
      <c r="Y96">
        <f t="shared" si="34"/>
        <v>0.97192631293472387</v>
      </c>
      <c r="Z96">
        <f t="shared" si="35"/>
        <v>4.7883849676990664</v>
      </c>
      <c r="AA96">
        <f t="shared" si="36"/>
        <v>8.5982661056567959</v>
      </c>
      <c r="AC96">
        <f t="shared" si="38"/>
        <v>6</v>
      </c>
      <c r="AD96">
        <f t="shared" si="39"/>
        <v>5.8129764708798239</v>
      </c>
    </row>
    <row r="97" spans="4:30" ht="15" thickTop="1" x14ac:dyDescent="0.35">
      <c r="D97">
        <f t="shared" si="37"/>
        <v>7</v>
      </c>
      <c r="E97">
        <f t="shared" si="31"/>
        <v>7.1200726875188378</v>
      </c>
      <c r="F97">
        <f t="shared" si="40"/>
        <v>1.0276490263150313</v>
      </c>
      <c r="L97" s="4" t="s">
        <v>15</v>
      </c>
      <c r="M97" s="4" t="s">
        <v>16</v>
      </c>
      <c r="N97" s="4" t="s">
        <v>17</v>
      </c>
      <c r="U97">
        <f t="shared" si="32"/>
        <v>7</v>
      </c>
      <c r="V97">
        <f t="shared" si="32"/>
        <v>7.1200726875188378</v>
      </c>
      <c r="W97">
        <f t="shared" si="32"/>
        <v>1.0276490263150313</v>
      </c>
      <c r="X97">
        <f t="shared" si="33"/>
        <v>6.0924236612038065</v>
      </c>
      <c r="Y97">
        <f t="shared" si="34"/>
        <v>0.97192631293472387</v>
      </c>
      <c r="Z97">
        <f t="shared" si="35"/>
        <v>4.1874830922249426</v>
      </c>
      <c r="AA97">
        <f t="shared" si="36"/>
        <v>7.9973642301826704</v>
      </c>
      <c r="AC97">
        <f t="shared" si="38"/>
        <v>7</v>
      </c>
      <c r="AD97">
        <f t="shared" si="39"/>
        <v>7.1200726875188378</v>
      </c>
    </row>
    <row r="98" spans="4:30" x14ac:dyDescent="0.35">
      <c r="D98">
        <f t="shared" si="37"/>
        <v>8</v>
      </c>
      <c r="E98">
        <f t="shared" si="31"/>
        <v>8.5019149332741044</v>
      </c>
      <c r="F98">
        <f t="shared" si="40"/>
        <v>0.99502820659601454</v>
      </c>
      <c r="I98" t="s">
        <v>51</v>
      </c>
      <c r="J98" s="11">
        <v>3</v>
      </c>
      <c r="U98">
        <f t="shared" si="32"/>
        <v>8</v>
      </c>
      <c r="V98">
        <f t="shared" si="32"/>
        <v>8.5019149332741044</v>
      </c>
      <c r="W98">
        <f t="shared" si="32"/>
        <v>0.99502820659601454</v>
      </c>
      <c r="X98">
        <f t="shared" si="33"/>
        <v>7.5068867266780899</v>
      </c>
      <c r="Y98">
        <f t="shared" si="34"/>
        <v>0.97192631293472387</v>
      </c>
      <c r="Z98">
        <f t="shared" si="35"/>
        <v>5.601946157699226</v>
      </c>
      <c r="AA98">
        <f t="shared" si="36"/>
        <v>9.4118272956569538</v>
      </c>
      <c r="AC98">
        <f t="shared" si="38"/>
        <v>8</v>
      </c>
      <c r="AD98">
        <f t="shared" si="39"/>
        <v>8.5019149332741044</v>
      </c>
    </row>
    <row r="99" spans="4:30" x14ac:dyDescent="0.35">
      <c r="D99">
        <f t="shared" si="37"/>
        <v>9</v>
      </c>
      <c r="E99">
        <f t="shared" si="31"/>
        <v>7.3012221051820614</v>
      </c>
      <c r="F99">
        <f t="shared" si="40"/>
        <v>-0.70422235119550969</v>
      </c>
      <c r="I99" t="s">
        <v>52</v>
      </c>
      <c r="J99" s="12">
        <v>0</v>
      </c>
      <c r="L99" t="s">
        <v>53</v>
      </c>
      <c r="U99">
        <f t="shared" si="32"/>
        <v>9</v>
      </c>
      <c r="V99">
        <f t="shared" si="32"/>
        <v>7.3012221051820614</v>
      </c>
      <c r="W99">
        <f t="shared" si="32"/>
        <v>-0.70422235119550969</v>
      </c>
      <c r="X99">
        <f t="shared" si="33"/>
        <v>8.0054444563775711</v>
      </c>
      <c r="Y99">
        <f t="shared" si="34"/>
        <v>0.97192631293472387</v>
      </c>
      <c r="Z99">
        <f t="shared" si="35"/>
        <v>6.1005038873987072</v>
      </c>
      <c r="AA99">
        <f t="shared" si="36"/>
        <v>9.910385025356435</v>
      </c>
      <c r="AC99">
        <f t="shared" si="38"/>
        <v>9</v>
      </c>
      <c r="AD99">
        <f t="shared" si="39"/>
        <v>7.3012221051820614</v>
      </c>
    </row>
    <row r="100" spans="4:30" ht="15" thickBot="1" x14ac:dyDescent="0.4">
      <c r="D100">
        <f t="shared" si="37"/>
        <v>10</v>
      </c>
      <c r="E100">
        <f t="shared" si="31"/>
        <v>6.0388768293832715</v>
      </c>
      <c r="F100">
        <f t="shared" si="40"/>
        <v>-0.19981417182226657</v>
      </c>
      <c r="I100" t="s">
        <v>55</v>
      </c>
      <c r="J100" s="12">
        <v>0</v>
      </c>
      <c r="U100">
        <f t="shared" si="32"/>
        <v>10</v>
      </c>
      <c r="V100">
        <f t="shared" si="32"/>
        <v>6.0388768293832715</v>
      </c>
      <c r="W100">
        <f t="shared" si="32"/>
        <v>-0.19981417182226657</v>
      </c>
      <c r="X100">
        <f t="shared" si="33"/>
        <v>6.2386910012055381</v>
      </c>
      <c r="Y100">
        <f t="shared" si="34"/>
        <v>0.97192631293472387</v>
      </c>
      <c r="Z100">
        <f t="shared" si="35"/>
        <v>4.3337504322266742</v>
      </c>
      <c r="AA100">
        <f t="shared" si="36"/>
        <v>8.143631570184402</v>
      </c>
      <c r="AC100">
        <f t="shared" si="38"/>
        <v>10</v>
      </c>
      <c r="AD100">
        <f t="shared" si="39"/>
        <v>6.0388768293832715</v>
      </c>
    </row>
    <row r="101" spans="4:30" ht="15" thickTop="1" x14ac:dyDescent="0.35">
      <c r="D101">
        <f t="shared" si="37"/>
        <v>11</v>
      </c>
      <c r="E101">
        <f t="shared" si="31"/>
        <v>4.7460896891377891</v>
      </c>
      <c r="F101">
        <f t="shared" si="40"/>
        <v>-1.5877128050344576</v>
      </c>
      <c r="I101" t="s">
        <v>61</v>
      </c>
      <c r="J101" s="12">
        <f>AVERAGE(F94:F110)</f>
        <v>5.3773360653897588E-2</v>
      </c>
      <c r="L101" s="4" t="s">
        <v>12</v>
      </c>
      <c r="M101" s="4" t="s">
        <v>62</v>
      </c>
      <c r="U101">
        <f t="shared" si="32"/>
        <v>11</v>
      </c>
      <c r="V101">
        <f t="shared" si="32"/>
        <v>4.7460896891377891</v>
      </c>
      <c r="W101">
        <f t="shared" si="32"/>
        <v>-1.5877128050344576</v>
      </c>
      <c r="X101">
        <f t="shared" si="33"/>
        <v>6.3338024941722466</v>
      </c>
      <c r="Y101">
        <f t="shared" si="34"/>
        <v>0.97192631293472387</v>
      </c>
      <c r="Z101">
        <f t="shared" si="35"/>
        <v>4.4288619251933827</v>
      </c>
      <c r="AA101">
        <f t="shared" si="36"/>
        <v>8.2387430631511105</v>
      </c>
      <c r="AC101">
        <f t="shared" si="38"/>
        <v>11</v>
      </c>
      <c r="AD101">
        <f t="shared" si="39"/>
        <v>4.7460896891377891</v>
      </c>
    </row>
    <row r="102" spans="4:30" x14ac:dyDescent="0.35">
      <c r="D102">
        <f t="shared" si="37"/>
        <v>12</v>
      </c>
      <c r="E102">
        <f t="shared" si="31"/>
        <v>6.6536767183588417</v>
      </c>
      <c r="F102">
        <f t="shared" si="40"/>
        <v>1.5714981045901473</v>
      </c>
      <c r="I102" t="s">
        <v>64</v>
      </c>
      <c r="J102" s="12">
        <f>STDEV(F94:F110)</f>
        <v>1.0003042074414423</v>
      </c>
      <c r="L102" s="7">
        <v>0</v>
      </c>
      <c r="M102" s="7">
        <f t="array" ref="M102:M106">[2]!PSICoeff(I91:I93)</f>
        <v>1</v>
      </c>
      <c r="U102">
        <f t="shared" si="32"/>
        <v>12</v>
      </c>
      <c r="V102">
        <f t="shared" si="32"/>
        <v>6.6536767183588417</v>
      </c>
      <c r="W102">
        <f t="shared" si="32"/>
        <v>1.5714981045901473</v>
      </c>
      <c r="X102">
        <f t="shared" si="33"/>
        <v>5.0821786137686944</v>
      </c>
      <c r="Y102">
        <f t="shared" si="34"/>
        <v>0.97192631293472387</v>
      </c>
      <c r="Z102">
        <f t="shared" si="35"/>
        <v>3.1772380447898301</v>
      </c>
      <c r="AA102">
        <f t="shared" si="36"/>
        <v>6.9871191827475592</v>
      </c>
      <c r="AC102">
        <f t="shared" si="38"/>
        <v>12</v>
      </c>
      <c r="AD102">
        <f t="shared" si="39"/>
        <v>6.6536767183588417</v>
      </c>
    </row>
    <row r="103" spans="4:30" x14ac:dyDescent="0.35">
      <c r="D103">
        <f t="shared" si="37"/>
        <v>13</v>
      </c>
      <c r="E103">
        <f t="shared" si="31"/>
        <v>8.1939759194869595</v>
      </c>
      <c r="F103">
        <f t="shared" si="40"/>
        <v>0.54029477011513016</v>
      </c>
      <c r="I103" t="s">
        <v>66</v>
      </c>
      <c r="J103" s="12">
        <f>SQRT(J96/J106)</f>
        <v>0.97192631293472387</v>
      </c>
      <c r="L103">
        <f>L102+1</f>
        <v>1</v>
      </c>
      <c r="M103">
        <v>1.1977138188847922</v>
      </c>
      <c r="U103">
        <f t="shared" si="32"/>
        <v>13</v>
      </c>
      <c r="V103">
        <f t="shared" si="32"/>
        <v>8.1939759194869595</v>
      </c>
      <c r="W103">
        <f t="shared" si="32"/>
        <v>0.54029477011513016</v>
      </c>
      <c r="X103">
        <f t="shared" si="33"/>
        <v>7.6536811493718293</v>
      </c>
      <c r="Y103">
        <f t="shared" si="34"/>
        <v>0.97192631293472387</v>
      </c>
      <c r="Z103">
        <f t="shared" si="35"/>
        <v>5.7487405803929654</v>
      </c>
      <c r="AA103">
        <f t="shared" si="36"/>
        <v>9.5586217183506932</v>
      </c>
      <c r="AC103">
        <f t="shared" si="38"/>
        <v>13</v>
      </c>
      <c r="AD103">
        <f t="shared" si="39"/>
        <v>8.1939759194869595</v>
      </c>
    </row>
    <row r="104" spans="4:30" x14ac:dyDescent="0.35">
      <c r="D104">
        <f t="shared" si="37"/>
        <v>14</v>
      </c>
      <c r="E104">
        <f t="shared" si="31"/>
        <v>7.5602635334693442</v>
      </c>
      <c r="F104">
        <f t="shared" si="40"/>
        <v>0.14114510401591218</v>
      </c>
      <c r="I104" t="s">
        <v>68</v>
      </c>
      <c r="J104" s="12">
        <f>AVERAGE(E94:E110)</f>
        <v>6.6860051522260298</v>
      </c>
      <c r="L104">
        <f>L103+1</f>
        <v>2</v>
      </c>
      <c r="M104">
        <v>0.70017272833932709</v>
      </c>
      <c r="U104">
        <f t="shared" si="32"/>
        <v>14</v>
      </c>
      <c r="V104">
        <f t="shared" si="32"/>
        <v>7.5602635334693442</v>
      </c>
      <c r="W104">
        <f t="shared" si="32"/>
        <v>0.14114510401591218</v>
      </c>
      <c r="X104">
        <f t="shared" si="33"/>
        <v>7.419118429453432</v>
      </c>
      <c r="Y104">
        <f t="shared" si="34"/>
        <v>0.97192631293472387</v>
      </c>
      <c r="Z104">
        <f t="shared" si="35"/>
        <v>5.5141778604745681</v>
      </c>
      <c r="AA104">
        <f t="shared" si="36"/>
        <v>9.3240589984322959</v>
      </c>
      <c r="AC104">
        <f t="shared" si="38"/>
        <v>14</v>
      </c>
      <c r="AD104">
        <f t="shared" si="39"/>
        <v>7.5602635334693442</v>
      </c>
    </row>
    <row r="105" spans="4:30" x14ac:dyDescent="0.35">
      <c r="D105">
        <f t="shared" si="37"/>
        <v>15</v>
      </c>
      <c r="E105">
        <f t="shared" si="31"/>
        <v>6.794451297136205</v>
      </c>
      <c r="F105">
        <f t="shared" si="40"/>
        <v>0.26417607846914049</v>
      </c>
      <c r="I105" t="s">
        <v>69</v>
      </c>
      <c r="J105" s="12">
        <f>STDEV(E94:E110)</f>
        <v>1.0288640167189751</v>
      </c>
      <c r="L105">
        <f>L104+1</f>
        <v>3</v>
      </c>
      <c r="M105">
        <v>0.48396141804022685</v>
      </c>
      <c r="U105">
        <f t="shared" si="32"/>
        <v>15</v>
      </c>
      <c r="V105">
        <f t="shared" si="32"/>
        <v>6.794451297136205</v>
      </c>
      <c r="W105">
        <f t="shared" si="32"/>
        <v>0.26417607846914049</v>
      </c>
      <c r="X105">
        <f t="shared" si="33"/>
        <v>6.5302752186670645</v>
      </c>
      <c r="Y105">
        <f t="shared" si="34"/>
        <v>0.97192631293472387</v>
      </c>
      <c r="Z105">
        <f t="shared" si="35"/>
        <v>4.6253346496882006</v>
      </c>
      <c r="AA105">
        <f t="shared" si="36"/>
        <v>8.4352157876459284</v>
      </c>
      <c r="AC105">
        <f t="shared" si="38"/>
        <v>15</v>
      </c>
      <c r="AD105">
        <f t="shared" si="39"/>
        <v>6.794451297136205</v>
      </c>
    </row>
    <row r="106" spans="4:30" x14ac:dyDescent="0.35">
      <c r="D106">
        <f t="shared" si="37"/>
        <v>16</v>
      </c>
      <c r="E106">
        <f t="shared" si="31"/>
        <v>4.7244665351583883</v>
      </c>
      <c r="F106">
        <f t="shared" si="40"/>
        <v>-2.1624376308115139</v>
      </c>
      <c r="I106" t="s">
        <v>74</v>
      </c>
      <c r="J106" s="13">
        <f>COUNT(E94:E110)</f>
        <v>17</v>
      </c>
      <c r="L106" s="5">
        <f>L105+1</f>
        <v>4</v>
      </c>
      <c r="M106" s="5">
        <v>0.6941474537050929</v>
      </c>
      <c r="U106">
        <f t="shared" si="32"/>
        <v>16</v>
      </c>
      <c r="V106">
        <f t="shared" si="32"/>
        <v>4.7244665351583883</v>
      </c>
      <c r="W106">
        <f t="shared" si="32"/>
        <v>-2.1624376308115139</v>
      </c>
      <c r="X106">
        <f t="shared" si="33"/>
        <v>6.8869041659699022</v>
      </c>
      <c r="Y106">
        <f t="shared" si="34"/>
        <v>0.97192631293472387</v>
      </c>
      <c r="Z106">
        <f t="shared" si="35"/>
        <v>4.9819635969910383</v>
      </c>
      <c r="AA106">
        <f t="shared" si="36"/>
        <v>8.7918447349487661</v>
      </c>
      <c r="AC106">
        <f t="shared" si="38"/>
        <v>16</v>
      </c>
      <c r="AD106">
        <f t="shared" si="39"/>
        <v>4.7244665351583883</v>
      </c>
    </row>
    <row r="107" spans="4:30" x14ac:dyDescent="0.35">
      <c r="D107">
        <f t="shared" si="37"/>
        <v>17</v>
      </c>
      <c r="E107">
        <f t="shared" si="31"/>
        <v>6.0271551265385801</v>
      </c>
      <c r="F107">
        <f t="shared" si="40"/>
        <v>1.3897592306543922</v>
      </c>
      <c r="U107">
        <f t="shared" si="32"/>
        <v>17</v>
      </c>
      <c r="V107">
        <f t="shared" si="32"/>
        <v>6.0271551265385801</v>
      </c>
      <c r="W107">
        <f t="shared" si="32"/>
        <v>1.3897592306543922</v>
      </c>
      <c r="X107">
        <f t="shared" si="33"/>
        <v>4.6373958958841879</v>
      </c>
      <c r="Y107">
        <f t="shared" si="34"/>
        <v>0.97192631293472387</v>
      </c>
      <c r="Z107">
        <f t="shared" si="35"/>
        <v>2.7324553269053236</v>
      </c>
      <c r="AA107">
        <f t="shared" si="36"/>
        <v>6.5423364648630518</v>
      </c>
      <c r="AC107">
        <f t="shared" si="38"/>
        <v>17</v>
      </c>
      <c r="AD107">
        <f t="shared" si="39"/>
        <v>6.0271551265385801</v>
      </c>
    </row>
    <row r="108" spans="4:30" x14ac:dyDescent="0.35">
      <c r="D108">
        <f t="shared" si="37"/>
        <v>18</v>
      </c>
      <c r="E108">
        <f t="shared" si="31"/>
        <v>7.1259100258620851</v>
      </c>
      <c r="F108">
        <f t="shared" si="40"/>
        <v>-0.18985052256915047</v>
      </c>
      <c r="I108" t="s">
        <v>76</v>
      </c>
      <c r="J108" s="11">
        <f>-(J111-2*(J98+J99))/2</f>
        <v>-23.63787518321266</v>
      </c>
      <c r="U108">
        <f t="shared" si="32"/>
        <v>18</v>
      </c>
      <c r="V108">
        <f t="shared" si="32"/>
        <v>7.1259100258620851</v>
      </c>
      <c r="W108">
        <f t="shared" si="32"/>
        <v>-0.18985052256915047</v>
      </c>
      <c r="X108">
        <f t="shared" si="33"/>
        <v>7.3157605484312356</v>
      </c>
      <c r="Y108">
        <f t="shared" si="34"/>
        <v>0.97192631293472387</v>
      </c>
      <c r="Z108">
        <f t="shared" si="35"/>
        <v>5.4108199794523717</v>
      </c>
      <c r="AA108">
        <f t="shared" si="36"/>
        <v>9.2207011174100995</v>
      </c>
      <c r="AC108">
        <f t="shared" si="38"/>
        <v>18</v>
      </c>
      <c r="AD108">
        <f t="shared" si="39"/>
        <v>7.1259100258620851</v>
      </c>
    </row>
    <row r="109" spans="4:30" x14ac:dyDescent="0.35">
      <c r="D109">
        <f t="shared" si="37"/>
        <v>19</v>
      </c>
      <c r="E109">
        <f t="shared" si="31"/>
        <v>7.1912478294921529</v>
      </c>
      <c r="F109">
        <f t="shared" si="40"/>
        <v>0.60263306111434822</v>
      </c>
      <c r="I109" t="s">
        <v>38</v>
      </c>
      <c r="J109" s="12">
        <f>J106*LN(J96/J106)+2*(J98+J99)</f>
        <v>5.0318402374664482</v>
      </c>
      <c r="U109">
        <f t="shared" si="32"/>
        <v>19</v>
      </c>
      <c r="V109">
        <f t="shared" si="32"/>
        <v>7.1912478294921529</v>
      </c>
      <c r="W109">
        <f t="shared" si="32"/>
        <v>0.60263306111434822</v>
      </c>
      <c r="X109">
        <f t="shared" si="33"/>
        <v>6.5886147683778047</v>
      </c>
      <c r="Y109">
        <f t="shared" si="34"/>
        <v>0.97192631293472387</v>
      </c>
      <c r="Z109">
        <f t="shared" si="35"/>
        <v>4.6836741993989399</v>
      </c>
      <c r="AA109">
        <f t="shared" si="36"/>
        <v>8.4935553373566695</v>
      </c>
      <c r="AC109">
        <f t="shared" si="38"/>
        <v>19</v>
      </c>
      <c r="AD109">
        <f t="shared" si="39"/>
        <v>7.1912478294921529</v>
      </c>
    </row>
    <row r="110" spans="4:30" x14ac:dyDescent="0.35">
      <c r="D110" s="5">
        <f t="shared" si="37"/>
        <v>20</v>
      </c>
      <c r="E110" s="5">
        <f t="shared" si="31"/>
        <v>6.6826916383449895</v>
      </c>
      <c r="F110" s="5">
        <f t="shared" si="40"/>
        <v>0.13891749913329576</v>
      </c>
      <c r="I110" t="s">
        <v>77</v>
      </c>
      <c r="J110" s="12">
        <f>J106*LN(J96/J106)+LN(J106)*(J98+J99)</f>
        <v>7.5314802696350975</v>
      </c>
      <c r="U110">
        <f t="shared" si="32"/>
        <v>20</v>
      </c>
      <c r="V110">
        <f t="shared" si="32"/>
        <v>6.6826916383449895</v>
      </c>
      <c r="W110">
        <f t="shared" si="32"/>
        <v>0.13891749913329576</v>
      </c>
      <c r="X110">
        <f t="shared" si="33"/>
        <v>6.5437741392116937</v>
      </c>
      <c r="Y110">
        <f t="shared" si="34"/>
        <v>0.97192631293472387</v>
      </c>
      <c r="Z110">
        <f t="shared" si="35"/>
        <v>4.6388335702328298</v>
      </c>
      <c r="AA110">
        <f t="shared" si="36"/>
        <v>8.4487147081905576</v>
      </c>
      <c r="AC110" s="5">
        <f t="shared" si="38"/>
        <v>20</v>
      </c>
      <c r="AD110" s="5">
        <f t="shared" si="39"/>
        <v>6.6826916383449895</v>
      </c>
    </row>
    <row r="111" spans="4:30" x14ac:dyDescent="0.35">
      <c r="I111" t="s">
        <v>78</v>
      </c>
      <c r="J111" s="12">
        <f>J106*(1+LN(2*PI()))+J109</f>
        <v>53.275750366425321</v>
      </c>
      <c r="U111">
        <f>U110+1</f>
        <v>21</v>
      </c>
      <c r="X111">
        <f>SUMPRODUCT(V108:V110,I$91:I$93)</f>
        <v>6.4634151830493032</v>
      </c>
      <c r="Y111">
        <f>J$103*SQRT(SUMSQ(M$102:M102))</f>
        <v>0.97192631293472387</v>
      </c>
      <c r="Z111">
        <f>X111-NORMSINV(1-Y$89/2)*Y111</f>
        <v>4.5584746140704393</v>
      </c>
      <c r="AA111">
        <f>X111+NORMSINV(1-Y$89/2)*Y111</f>
        <v>8.3683557520281671</v>
      </c>
      <c r="AC111">
        <f t="shared" si="38"/>
        <v>21</v>
      </c>
      <c r="AD111">
        <f>X111</f>
        <v>6.4634151830493032</v>
      </c>
    </row>
    <row r="112" spans="4:30" x14ac:dyDescent="0.35">
      <c r="I112" t="s">
        <v>79</v>
      </c>
      <c r="J112" s="13">
        <f>J106*(1+LN(2*PI()))+J110</f>
        <v>55.77539039859397</v>
      </c>
      <c r="U112">
        <f>U111+1</f>
        <v>22</v>
      </c>
      <c r="X112">
        <f>SUMPRODUCT(V109:V110,I91:I92)+SUMPRODUCT(X111,I93)</f>
        <v>6.6085359890431246</v>
      </c>
      <c r="Y112">
        <f>J$103*SQRT(SUMSQ(M$102:M103))</f>
        <v>1.5164911139160271</v>
      </c>
      <c r="Z112">
        <f>X112-NORMSINV(1-Y$89/2)*Y112</f>
        <v>3.6362680228926836</v>
      </c>
      <c r="AA112">
        <f>X112+NORMSINV(1-Y$89/2)*Y112</f>
        <v>9.5808039551935664</v>
      </c>
      <c r="AC112">
        <f t="shared" si="38"/>
        <v>22</v>
      </c>
      <c r="AD112">
        <f>X112</f>
        <v>6.6085359890431246</v>
      </c>
    </row>
    <row r="113" spans="21:30" x14ac:dyDescent="0.35">
      <c r="U113">
        <f>U112+1</f>
        <v>23</v>
      </c>
      <c r="X113">
        <f>SUMPRODUCT(V110,I91)+SUMPRODUCT(X111:X112,I92:I93)</f>
        <v>6.6764374243023639</v>
      </c>
      <c r="Y113">
        <f>J$103*SQRT(SUMSQ(M$102:M104))</f>
        <v>1.6621816178746807</v>
      </c>
      <c r="Z113">
        <f>X113-NORMSINV(1-Y$89/2)*Y113</f>
        <v>3.4186213175034719</v>
      </c>
      <c r="AA113">
        <f>X113+NORMSINV(1-Y$89/2)*Y113</f>
        <v>9.9342535311012554</v>
      </c>
      <c r="AC113">
        <f t="shared" si="38"/>
        <v>23</v>
      </c>
      <c r="AD113">
        <f>X113</f>
        <v>6.6764374243023639</v>
      </c>
    </row>
    <row r="114" spans="21:30" x14ac:dyDescent="0.35">
      <c r="U114">
        <f>U113+1</f>
        <v>24</v>
      </c>
      <c r="X114">
        <f>SUMPRODUCT(X111:X113,I91:I93)</f>
        <v>6.5360988797573771</v>
      </c>
      <c r="Y114">
        <f>J$103*SQRT(SUMSQ(M$102:M105))</f>
        <v>1.7274548381197072</v>
      </c>
      <c r="Z114">
        <f>X114-NORMSINV(1-Y$89/2)*Y114</f>
        <v>3.1503496121232826</v>
      </c>
      <c r="AA114">
        <f>X114+NORMSINV(1-Y$89/2)*Y114</f>
        <v>9.9218481473914721</v>
      </c>
      <c r="AC114">
        <f t="shared" si="38"/>
        <v>24</v>
      </c>
      <c r="AD114">
        <f>X114</f>
        <v>6.5360988797573771</v>
      </c>
    </row>
    <row r="115" spans="21:30" x14ac:dyDescent="0.35">
      <c r="U115" s="5">
        <f>U114+1</f>
        <v>25</v>
      </c>
      <c r="V115" s="5"/>
      <c r="W115" s="5"/>
      <c r="X115" s="5">
        <f>SUMPRODUCT(X112:X114,I91:I93)</f>
        <v>6.3943229192071396</v>
      </c>
      <c r="Y115" s="5">
        <f>J$103*SQRT(SUMSQ(M$102:M106))</f>
        <v>1.8545259690540967</v>
      </c>
      <c r="Z115" s="5">
        <f>X115-NORMSINV(1-Y$89/2)*Y115</f>
        <v>2.7595188114668678</v>
      </c>
      <c r="AA115" s="5">
        <f>X115+NORMSINV(1-Y$89/2)*Y115</f>
        <v>10.02912702694741</v>
      </c>
      <c r="AC115" s="5">
        <f t="shared" si="38"/>
        <v>25</v>
      </c>
      <c r="AD115" s="5">
        <f>X115</f>
        <v>6.3943229192071396</v>
      </c>
    </row>
  </sheetData>
  <pageMargins left="0.7" right="0.7" top="0.75" bottom="0.75" header="0.3" footer="0.3"/>
  <ignoredErrors>
    <ignoredError sqref="Q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AR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2025-02-01T10:55:12Z</dcterms:created>
  <dcterms:modified xsi:type="dcterms:W3CDTF">2025-02-01T10:57:31Z</dcterms:modified>
</cp:coreProperties>
</file>