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352BA6C1-15DD-43F5-97DC-5F57421414EC}" xr6:coauthVersionLast="47" xr6:coauthVersionMax="47" xr10:uidLastSave="{00000000-0000-0000-0000-000000000000}"/>
  <bookViews>
    <workbookView xWindow="-110" yWindow="-110" windowWidth="19420" windowHeight="10300" xr2:uid="{D3731406-DFB4-45D4-93A3-25BE4D090BA5}"/>
  </bookViews>
  <sheets>
    <sheet name="Title" sheetId="1" r:id="rId1"/>
    <sheet name="Example 1" sheetId="7" r:id="rId2"/>
    <sheet name="Example 2" sheetId="4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4" l="1" a="1"/>
  <c r="W42" i="4" s="1"/>
  <c r="W41" i="4" a="1"/>
  <c r="W41" i="4" s="1"/>
  <c r="W40" i="4" a="1"/>
  <c r="W40" i="4" s="1"/>
  <c r="W39" i="4" a="1"/>
  <c r="W39" i="4" s="1"/>
  <c r="W38" i="4" a="1"/>
  <c r="W38" i="4" s="1"/>
  <c r="U42" i="4"/>
  <c r="U40" i="4"/>
  <c r="U41" i="4"/>
  <c r="U39" i="4"/>
  <c r="U38" i="4"/>
  <c r="E55" i="4" l="1"/>
  <c r="E54" i="4"/>
  <c r="E53" i="4"/>
  <c r="E52" i="4"/>
  <c r="E48" i="4"/>
  <c r="E47" i="4"/>
  <c r="E46" i="4"/>
  <c r="E45" i="4"/>
  <c r="J35" i="4"/>
  <c r="I35" i="4"/>
  <c r="J34" i="4"/>
  <c r="I34" i="4"/>
  <c r="Y19" i="7"/>
  <c r="X19" i="7"/>
  <c r="AB19" i="7" s="1"/>
  <c r="Y18" i="7"/>
  <c r="X18" i="7"/>
  <c r="AB18" i="7" s="1"/>
  <c r="AG13" i="7"/>
  <c r="AE13" i="7"/>
  <c r="AG12" i="7"/>
  <c r="AE12" i="7"/>
  <c r="AG11" i="7"/>
  <c r="AE11" i="7"/>
  <c r="AG10" i="7"/>
  <c r="AE10" i="7"/>
  <c r="AG6" i="7"/>
  <c r="AG5" i="7"/>
  <c r="M18" i="7"/>
  <c r="L18" i="7"/>
  <c r="B18" i="7"/>
  <c r="A18" i="7"/>
  <c r="B17" i="7"/>
  <c r="A17" i="7"/>
  <c r="Y16" i="7"/>
  <c r="M16" i="7"/>
  <c r="M17" i="7" s="1" a="1"/>
  <c r="M17" i="7" s="1"/>
  <c r="M10" i="7" s="1"/>
  <c r="L16" i="7"/>
  <c r="L17" i="7" s="1" a="1"/>
  <c r="L17" i="7" s="1"/>
  <c r="L10" i="7" s="1"/>
  <c r="B16" i="7"/>
  <c r="A16" i="7"/>
  <c r="M15" i="7"/>
  <c r="M8" i="7" s="1"/>
  <c r="L15" i="7"/>
  <c r="L8" i="7" s="1"/>
  <c r="M14" i="7"/>
  <c r="L14" i="7"/>
  <c r="L13" i="7" a="1"/>
  <c r="L13" i="7" s="1"/>
  <c r="W8" i="7"/>
  <c r="V8" i="7"/>
  <c r="U8" i="7"/>
  <c r="T8" i="7"/>
  <c r="W7" i="7"/>
  <c r="W18" i="7" s="1"/>
  <c r="W19" i="7" s="1"/>
  <c r="V7" i="7"/>
  <c r="U7" i="7"/>
  <c r="U18" i="7" s="1"/>
  <c r="U19" i="7" s="1"/>
  <c r="T7" i="7"/>
  <c r="AE6" i="7"/>
  <c r="AE5" i="7"/>
  <c r="M5" i="7"/>
  <c r="L5" i="7"/>
  <c r="AA19" i="7" l="1"/>
  <c r="L7" i="7"/>
  <c r="L9" i="7"/>
  <c r="M13" i="7" a="1"/>
  <c r="M13" i="7" s="1"/>
  <c r="V18" i="7"/>
  <c r="M9" i="7"/>
  <c r="Z19" i="7"/>
  <c r="W13" i="7"/>
  <c r="W9" i="7"/>
  <c r="U13" i="7" s="1"/>
  <c r="U14" i="7" s="1"/>
  <c r="L20" i="7" l="1"/>
  <c r="V19" i="7"/>
  <c r="AC18" i="7"/>
  <c r="AC19" i="7" s="1"/>
  <c r="W14" i="7"/>
  <c r="Y14" i="7" s="1"/>
  <c r="Y13" i="7"/>
  <c r="V13" i="7"/>
  <c r="X9" i="7"/>
  <c r="M7" i="7"/>
  <c r="X13" i="7" l="1"/>
  <c r="AB13" i="7" s="1"/>
  <c r="V14" i="7"/>
  <c r="X14" i="7" s="1"/>
  <c r="AB14" i="7" s="1"/>
  <c r="AC13" i="7"/>
  <c r="AC14" i="7" s="1"/>
  <c r="L11" i="7"/>
  <c r="M11" i="7"/>
  <c r="L6" i="7"/>
  <c r="M6" i="7"/>
  <c r="AA14" i="7"/>
  <c r="Z14" i="7"/>
  <c r="E41" i="4" l="1"/>
  <c r="E40" i="4"/>
  <c r="J32" i="4"/>
  <c r="H30" i="4"/>
  <c r="J30" i="4" s="1"/>
  <c r="H29" i="4"/>
  <c r="J29" i="4" s="1"/>
  <c r="H24" i="4"/>
  <c r="G24" i="4"/>
  <c r="F24" i="4"/>
  <c r="E24" i="4"/>
  <c r="H23" i="4"/>
  <c r="F34" i="4" s="1"/>
  <c r="G23" i="4"/>
  <c r="F23" i="4"/>
  <c r="H25" i="4" s="1"/>
  <c r="F29" i="4" s="1"/>
  <c r="E23" i="4"/>
  <c r="B17" i="4"/>
  <c r="A17" i="4"/>
  <c r="B16" i="4"/>
  <c r="A16" i="4"/>
  <c r="B15" i="4"/>
  <c r="A15" i="4"/>
  <c r="M11" i="4"/>
  <c r="L11" i="4"/>
  <c r="M10" i="4"/>
  <c r="L10" i="4"/>
  <c r="M9" i="4"/>
  <c r="L9" i="4"/>
  <c r="M8" i="4"/>
  <c r="L8" i="4"/>
  <c r="M7" i="4"/>
  <c r="M6" i="4"/>
  <c r="L6" i="4"/>
  <c r="L7" i="4" s="1"/>
  <c r="M5" i="4"/>
  <c r="L5" i="4"/>
  <c r="F35" i="4" l="1"/>
  <c r="G34" i="4"/>
  <c r="G29" i="4"/>
  <c r="F30" i="4"/>
  <c r="I25" i="4"/>
  <c r="H34" i="4"/>
  <c r="K30" i="4"/>
  <c r="L30" i="4"/>
  <c r="M34" i="4" l="1"/>
  <c r="N34" i="4"/>
  <c r="N35" i="4" s="1"/>
  <c r="G35" i="4"/>
  <c r="H35" i="4"/>
  <c r="G30" i="4"/>
  <c r="I30" i="4" s="1"/>
  <c r="M30" i="4" s="1"/>
  <c r="N29" i="4"/>
  <c r="N30" i="4" s="1"/>
  <c r="I29" i="4"/>
  <c r="M29" i="4" s="1"/>
  <c r="K35" i="4" l="1"/>
  <c r="L35" i="4"/>
  <c r="M35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<sst xmlns="http://schemas.openxmlformats.org/spreadsheetml/2006/main" count="185" uniqueCount="75">
  <si>
    <t>T test: two independent samples</t>
  </si>
  <si>
    <t>New</t>
  </si>
  <si>
    <t>Old</t>
  </si>
  <si>
    <t>Box Plot</t>
  </si>
  <si>
    <t>t-Test: Two-Sample Assuming Equal Variances</t>
  </si>
  <si>
    <t>T Test: Two Independent Samples</t>
  </si>
  <si>
    <t>T.TEST</t>
  </si>
  <si>
    <t>SUMMARY</t>
  </si>
  <si>
    <t>Hyp Mean Diff</t>
  </si>
  <si>
    <t>Min</t>
  </si>
  <si>
    <t>Mean</t>
  </si>
  <si>
    <t>Groups</t>
  </si>
  <si>
    <t>Count</t>
  </si>
  <si>
    <t>Variance</t>
  </si>
  <si>
    <t>Cohen d</t>
  </si>
  <si>
    <t>Q1-Min</t>
  </si>
  <si>
    <t>Med-Q1</t>
  </si>
  <si>
    <t>Observations</t>
  </si>
  <si>
    <t>Pooled values</t>
  </si>
  <si>
    <t>Q3-Med</t>
  </si>
  <si>
    <t>Pooled Variance</t>
  </si>
  <si>
    <t>Pooled</t>
  </si>
  <si>
    <t>Max-Q3</t>
  </si>
  <si>
    <t>Hypothesized Mean Difference</t>
  </si>
  <si>
    <t>df</t>
  </si>
  <si>
    <t>T TEST: Equal Variances</t>
  </si>
  <si>
    <t>Alpha</t>
  </si>
  <si>
    <t>t Stat</t>
  </si>
  <si>
    <t xml:space="preserve"> </t>
  </si>
  <si>
    <t>std err</t>
  </si>
  <si>
    <t>t-stat</t>
  </si>
  <si>
    <t>p-value</t>
  </si>
  <si>
    <t>t-crit</t>
  </si>
  <si>
    <t>lower</t>
  </si>
  <si>
    <t>upper</t>
  </si>
  <si>
    <t>sig</t>
  </si>
  <si>
    <t>effect r</t>
  </si>
  <si>
    <t>P(T&lt;=t) one-tail</t>
  </si>
  <si>
    <t>One Tail</t>
  </si>
  <si>
    <t>Q1</t>
  </si>
  <si>
    <t>t Critical one-tail</t>
  </si>
  <si>
    <t>Two Tail</t>
  </si>
  <si>
    <t>Median</t>
  </si>
  <si>
    <t>P(T&lt;=t) two-tail</t>
  </si>
  <si>
    <t>size</t>
  </si>
  <si>
    <t>Q3</t>
  </si>
  <si>
    <t>t Critical two-tail</t>
  </si>
  <si>
    <t>T TEST: Unequal Variances</t>
  </si>
  <si>
    <t>mean</t>
  </si>
  <si>
    <t>Max</t>
  </si>
  <si>
    <t>variance</t>
  </si>
  <si>
    <t>t-Test: Two-Sample Assuming Unequal Variances</t>
  </si>
  <si>
    <t>Grand Min</t>
  </si>
  <si>
    <t>TTEST</t>
  </si>
  <si>
    <t>=T.TEST(A4:A13,B4:B13,2,3)</t>
  </si>
  <si>
    <t>=T.TEST(A4:A13,B4:B13,2,2)</t>
  </si>
  <si>
    <t>Pooled values - equal sample size</t>
  </si>
  <si>
    <t>=VAR_POOLED(A4:A13,B4:B13)</t>
  </si>
  <si>
    <t>=STDEV_POOLED(A4:A13,B4:B13)</t>
  </si>
  <si>
    <t>=STDERR_POOLED(A4:A13,B4:B13)</t>
  </si>
  <si>
    <t>=DF_POOLED(A4:A13,B4:B13)</t>
  </si>
  <si>
    <t>Pooled values - unequal sample size</t>
  </si>
  <si>
    <t>=VAR_POOLED(A4:A13,B4:B12)</t>
  </si>
  <si>
    <t>=STDEV_POOLED(A4:A13,B4:B12)</t>
  </si>
  <si>
    <t>=STDERR_POOLED(A4:A13,B4:B12)</t>
  </si>
  <si>
    <t>=DF_POOLED(A4:A13,B4:B12)</t>
  </si>
  <si>
    <t>Real Statistics Using Excel</t>
  </si>
  <si>
    <t>Updated</t>
  </si>
  <si>
    <t>Two Sample t-Test Unequal Variances</t>
  </si>
  <si>
    <t>s*</t>
  </si>
  <si>
    <t>d*</t>
  </si>
  <si>
    <t>df*</t>
  </si>
  <si>
    <t>g*</t>
  </si>
  <si>
    <t>m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</si>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</sst>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quotePrefix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5" xfId="0" quotePrefix="1" applyBorder="1"/>
    <xf numFmtId="0" fontId="0" fillId="0" borderId="10" xfId="0" quotePrefix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5" fontId="0" fillId="0" borderId="0" xfId="0" applyNumberFormat="1"/>
    <xf numFmtId="0" fontId="3" fillId="0" borderId="0" xfId="0" applyFont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 1'!$K$6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1'!$L$6:$M$6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B-4BCB-A6A0-7BFFB60A8125}"/>
            </c:ext>
          </c:extLst>
        </c:ser>
        <c:ser>
          <c:idx val="1"/>
          <c:order val="1"/>
          <c:tx>
            <c:strRef>
              <c:f>'Example 1'!$K$7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1'!$L$7:$M$7</c:f>
              <c:numCache>
                <c:formatCode>General</c:formatCode>
                <c:ptCount val="2"/>
                <c:pt idx="0">
                  <c:v>3.5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B-4BCB-A6A0-7BFFB60A8125}"/>
            </c:ext>
          </c:extLst>
        </c:ser>
        <c:ser>
          <c:idx val="2"/>
          <c:order val="2"/>
          <c:tx>
            <c:strRef>
              <c:f>'Example 1'!$K$8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1'!$L$8:$M$8</c:f>
              <c:numCache>
                <c:formatCode>General</c:formatCode>
                <c:ptCount val="2"/>
                <c:pt idx="0">
                  <c:v>2.5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B-4BCB-A6A0-7BFFB60A8125}"/>
            </c:ext>
          </c:extLst>
        </c:ser>
        <c:ser>
          <c:idx val="3"/>
          <c:order val="3"/>
          <c:tx>
            <c:strRef>
              <c:f>'Example 1'!$K$9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'Example 1'!$L$10:$M$10</c:f>
                <c:numCache>
                  <c:formatCode>General</c:formatCode>
                  <c:ptCount val="2"/>
                  <c:pt idx="0">
                    <c:v>2.5</c:v>
                  </c:pt>
                  <c:pt idx="1">
                    <c:v>4.5</c:v>
                  </c:pt>
                </c:numCache>
              </c:numRef>
            </c:plus>
          </c:errBars>
          <c:cat>
            <c:strRef>
              <c:f>'Example 1'!$L$5:$M$5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1'!$L$9:$M$9</c:f>
              <c:numCache>
                <c:formatCode>General</c:formatCode>
                <c:ptCount val="2"/>
                <c:pt idx="0">
                  <c:v>2.5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B-4BCB-A6A0-7BFFB60A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667648"/>
        <c:axId val="132673536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'Example 1'!$L$11:$M$11</c:f>
              <c:numCache>
                <c:formatCode>General</c:formatCode>
                <c:ptCount val="2"/>
                <c:pt idx="0">
                  <c:v>14.909090909090908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FB-4BCB-A6A0-7BFFB60A8125}"/>
            </c:ext>
          </c:extLst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'Example 1'!$B$14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FB-4BCB-A6A0-7BFFB60A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67648"/>
        <c:axId val="132673536"/>
      </c:scatterChart>
      <c:catAx>
        <c:axId val="132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73536"/>
        <c:crosses val="autoZero"/>
        <c:auto val="1"/>
        <c:lblAlgn val="ctr"/>
        <c:lblOffset val="100"/>
        <c:noMultiLvlLbl val="0"/>
      </c:catAx>
      <c:valAx>
        <c:axId val="1326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6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 2'!$K$6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'Example 2'!$L$5:$M$5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2'!$L$6:$M$6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F-4121-93EE-B1F24FCE6707}"/>
            </c:ext>
          </c:extLst>
        </c:ser>
        <c:ser>
          <c:idx val="1"/>
          <c:order val="1"/>
          <c:tx>
            <c:strRef>
              <c:f>'Example 2'!$K$7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'Example 2'!$L$5:$M$5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2'!$L$7:$M$7</c:f>
              <c:numCache>
                <c:formatCode>General</c:formatCode>
                <c:ptCount val="2"/>
                <c:pt idx="0">
                  <c:v>7.75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F-4121-93EE-B1F24FCE6707}"/>
            </c:ext>
          </c:extLst>
        </c:ser>
        <c:ser>
          <c:idx val="2"/>
          <c:order val="2"/>
          <c:tx>
            <c:strRef>
              <c:f>'Example 2'!$K$8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'Example 2'!$L$5:$M$5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2'!$L$8:$M$8</c:f>
              <c:numCache>
                <c:formatCode>General</c:formatCode>
                <c:ptCount val="2"/>
                <c:pt idx="0">
                  <c:v>10.75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F-4121-93EE-B1F24FCE6707}"/>
            </c:ext>
          </c:extLst>
        </c:ser>
        <c:ser>
          <c:idx val="3"/>
          <c:order val="3"/>
          <c:tx>
            <c:strRef>
              <c:f>'Example 2'!$K$9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'Example 2'!$L$10:$M$10</c:f>
                <c:numCache>
                  <c:formatCode>General</c:formatCode>
                  <c:ptCount val="2"/>
                  <c:pt idx="0">
                    <c:v>12.75</c:v>
                  </c:pt>
                  <c:pt idx="1">
                    <c:v>4.5</c:v>
                  </c:pt>
                </c:numCache>
              </c:numRef>
            </c:plus>
          </c:errBars>
          <c:cat>
            <c:strRef>
              <c:f>'Example 2'!$L$5:$M$5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'Example 2'!$L$9:$M$9</c:f>
              <c:numCache>
                <c:formatCode>General</c:formatCode>
                <c:ptCount val="2"/>
                <c:pt idx="0">
                  <c:v>6.75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F-4121-93EE-B1F24FCE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946176"/>
        <c:axId val="13296435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'Example 2'!$L$11:$M$11</c:f>
              <c:numCache>
                <c:formatCode>General</c:formatCode>
                <c:ptCount val="2"/>
                <c:pt idx="0">
                  <c:v>19.8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5F-4121-93EE-B1F24FCE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46176"/>
        <c:axId val="132964352"/>
      </c:scatterChart>
      <c:catAx>
        <c:axId val="1329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64352"/>
        <c:crosses val="autoZero"/>
        <c:auto val="1"/>
        <c:lblAlgn val="ctr"/>
        <c:lblOffset val="100"/>
        <c:noMultiLvlLbl val="0"/>
      </c:catAx>
      <c:valAx>
        <c:axId val="13296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4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379412</xdr:colOff>
      <xdr:row>1</xdr:row>
      <xdr:rowOff>176212</xdr:rowOff>
    </xdr:from>
    <xdr:to>
      <xdr:col>9</xdr:col>
      <xdr:colOff>409575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EB2F9D-FBE0-482D-B4E0-2B2D49617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80961</xdr:colOff>
      <xdr:row>2</xdr:row>
      <xdr:rowOff>42862</xdr:rowOff>
    </xdr:from>
    <xdr:to>
      <xdr:col>9</xdr:col>
      <xdr:colOff>542924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CF24DE-CEBD-4F65-BDF7-08DF96D7C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\Documents\A%20Real%20Statistics%202019\Spreadsheets\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4A33-C493-4A0B-8C12-6BE69BF87F87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66</v>
      </c>
    </row>
    <row r="2" spans="1:2" x14ac:dyDescent="0.35">
      <c r="A2" t="s">
        <v>68</v>
      </c>
    </row>
    <row r="4" spans="1:2" x14ac:dyDescent="0.35">
      <c r="A4" t="s">
        <v>67</v>
      </c>
      <c r="B4" s="27">
        <v>45632</v>
      </c>
    </row>
    <row r="6" spans="1:2" x14ac:dyDescent="0.35">
      <c r="A6" s="28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2AA2-0536-468D-B812-583580F60D98}">
  <sheetPr codeName="Sheet2"/>
  <dimension ref="A1:AG31"/>
  <sheetViews>
    <sheetView workbookViewId="0"/>
  </sheetViews>
  <sheetFormatPr defaultRowHeight="14.5" x14ac:dyDescent="0.35"/>
  <cols>
    <col min="3" max="3" width="8.1796875" customWidth="1"/>
    <col min="11" max="11" width="10.453125" customWidth="1"/>
    <col min="15" max="15" width="18.26953125" customWidth="1"/>
    <col min="32" max="32" width="3.7265625" customWidth="1"/>
    <col min="33" max="33" width="36.1796875" customWidth="1"/>
  </cols>
  <sheetData>
    <row r="1" spans="1:33" x14ac:dyDescent="0.35">
      <c r="A1" s="1" t="s">
        <v>0</v>
      </c>
    </row>
    <row r="3" spans="1:33" x14ac:dyDescent="0.35">
      <c r="A3" s="18" t="s">
        <v>1</v>
      </c>
      <c r="B3" s="18" t="s">
        <v>2</v>
      </c>
      <c r="K3" t="s">
        <v>3</v>
      </c>
      <c r="O3" t="s">
        <v>4</v>
      </c>
      <c r="T3" t="s">
        <v>5</v>
      </c>
      <c r="AE3" t="s">
        <v>6</v>
      </c>
    </row>
    <row r="4" spans="1:33" ht="15" thickBot="1" x14ac:dyDescent="0.4">
      <c r="A4" s="22">
        <v>13</v>
      </c>
      <c r="B4" s="22">
        <v>12</v>
      </c>
    </row>
    <row r="5" spans="1:33" ht="15" thickBot="1" x14ac:dyDescent="0.4">
      <c r="A5" s="2">
        <v>17</v>
      </c>
      <c r="B5" s="2">
        <v>8</v>
      </c>
      <c r="L5" s="3" t="str">
        <f>A3</f>
        <v>New</v>
      </c>
      <c r="M5" s="3" t="str">
        <f>B3</f>
        <v>Old</v>
      </c>
      <c r="O5" s="4"/>
      <c r="P5" s="4" t="s">
        <v>1</v>
      </c>
      <c r="Q5" s="4" t="s">
        <v>2</v>
      </c>
      <c r="T5" t="s">
        <v>7</v>
      </c>
      <c r="W5" t="s">
        <v>8</v>
      </c>
      <c r="X5">
        <v>0</v>
      </c>
      <c r="AE5" s="19">
        <f>TTEST(A4:A14,B4:B14,2,3)</f>
        <v>4.2977447702173807E-2</v>
      </c>
      <c r="AG5" t="e">
        <f ca="1">FTEXT(AE5)</f>
        <v>#NAME?</v>
      </c>
    </row>
    <row r="6" spans="1:33" ht="15" thickTop="1" x14ac:dyDescent="0.35">
      <c r="A6" s="2">
        <v>19</v>
      </c>
      <c r="B6" s="2">
        <v>6</v>
      </c>
      <c r="K6" t="s">
        <v>9</v>
      </c>
      <c r="L6" s="23">
        <f>L13-$L20</f>
        <v>9</v>
      </c>
      <c r="M6" s="24">
        <f>M13-$L20</f>
        <v>4</v>
      </c>
      <c r="O6" t="s">
        <v>10</v>
      </c>
      <c r="P6">
        <v>14.909090909090908</v>
      </c>
      <c r="Q6">
        <v>11.1</v>
      </c>
      <c r="T6" s="7" t="s">
        <v>11</v>
      </c>
      <c r="U6" s="7" t="s">
        <v>12</v>
      </c>
      <c r="V6" s="7" t="s">
        <v>10</v>
      </c>
      <c r="W6" s="7" t="s">
        <v>13</v>
      </c>
      <c r="X6" s="7" t="s">
        <v>14</v>
      </c>
      <c r="AE6" s="8">
        <f>TTEST(A4:A14,B4:B14,2,2)</f>
        <v>4.0219171898502742E-2</v>
      </c>
      <c r="AG6" t="e">
        <f ca="1">FTEXT(AE6)</f>
        <v>#NAME?</v>
      </c>
    </row>
    <row r="7" spans="1:33" x14ac:dyDescent="0.35">
      <c r="A7" s="2">
        <v>10</v>
      </c>
      <c r="B7" s="2">
        <v>16</v>
      </c>
      <c r="K7" t="s">
        <v>15</v>
      </c>
      <c r="L7" s="9">
        <f>L14-L13</f>
        <v>3.5</v>
      </c>
      <c r="M7" s="10">
        <f>M14-M13</f>
        <v>4.5</v>
      </c>
      <c r="O7" t="s">
        <v>13</v>
      </c>
      <c r="P7">
        <v>12.8909090909091</v>
      </c>
      <c r="Q7">
        <v>18.766666666666676</v>
      </c>
      <c r="T7" t="str">
        <f>A3</f>
        <v>New</v>
      </c>
      <c r="U7">
        <f>COUNT(A4:A14)</f>
        <v>11</v>
      </c>
      <c r="V7">
        <f>AVERAGE(A4:A14)</f>
        <v>14.909090909090908</v>
      </c>
      <c r="W7">
        <f>VAR(A4:A14)</f>
        <v>12.8909090909091</v>
      </c>
    </row>
    <row r="8" spans="1:33" x14ac:dyDescent="0.35">
      <c r="A8" s="2">
        <v>20</v>
      </c>
      <c r="B8" s="2">
        <v>12</v>
      </c>
      <c r="K8" t="s">
        <v>16</v>
      </c>
      <c r="L8" s="9">
        <f t="shared" ref="L8:M10" si="0">L15-L14</f>
        <v>2.5</v>
      </c>
      <c r="M8" s="10">
        <f t="shared" si="0"/>
        <v>3</v>
      </c>
      <c r="O8" t="s">
        <v>17</v>
      </c>
      <c r="P8">
        <v>11</v>
      </c>
      <c r="Q8">
        <v>10</v>
      </c>
      <c r="T8" t="str">
        <f>B3</f>
        <v>Old</v>
      </c>
      <c r="U8">
        <f>COUNT(B4:B13)</f>
        <v>10</v>
      </c>
      <c r="V8">
        <f>AVERAGE(B4:B13)</f>
        <v>11.1</v>
      </c>
      <c r="W8">
        <f>VAR(B4:B13)</f>
        <v>18.766666666666676</v>
      </c>
      <c r="AE8" t="s">
        <v>18</v>
      </c>
    </row>
    <row r="9" spans="1:33" x14ac:dyDescent="0.35">
      <c r="A9" s="2">
        <v>15</v>
      </c>
      <c r="B9" s="2">
        <v>14</v>
      </c>
      <c r="K9" t="s">
        <v>19</v>
      </c>
      <c r="L9" s="9">
        <f t="shared" si="0"/>
        <v>2.5</v>
      </c>
      <c r="M9" s="10">
        <f t="shared" si="0"/>
        <v>2</v>
      </c>
      <c r="O9" t="s">
        <v>20</v>
      </c>
      <c r="P9">
        <v>15.674162679425846</v>
      </c>
      <c r="T9" s="25" t="s">
        <v>21</v>
      </c>
      <c r="U9" s="25"/>
      <c r="V9" s="25"/>
      <c r="W9" s="25">
        <f>((U7-1)*W7+(U8-1)*W8)/(U7+U8-2)</f>
        <v>15.674162679425846</v>
      </c>
      <c r="X9" s="25">
        <f>ABS(V7-V8-X5)/SQRT(W9)</f>
        <v>0.96211982330182055</v>
      </c>
    </row>
    <row r="10" spans="1:33" x14ac:dyDescent="0.35">
      <c r="A10" s="2">
        <v>18</v>
      </c>
      <c r="B10" s="2">
        <v>10</v>
      </c>
      <c r="K10" t="s">
        <v>22</v>
      </c>
      <c r="L10" s="9">
        <f t="shared" si="0"/>
        <v>2.5</v>
      </c>
      <c r="M10" s="10">
        <f t="shared" si="0"/>
        <v>4.5</v>
      </c>
      <c r="O10" t="s">
        <v>23</v>
      </c>
      <c r="P10">
        <v>0</v>
      </c>
      <c r="AE10" s="19" t="e">
        <f ca="1">VAR_POOLED(A4:A14,B4:B14)</f>
        <v>#NAME?</v>
      </c>
      <c r="AG10" t="e">
        <f ca="1">FTEXT(AE10)</f>
        <v>#NAME?</v>
      </c>
    </row>
    <row r="11" spans="1:33" ht="15" thickBot="1" x14ac:dyDescent="0.4">
      <c r="A11" s="2">
        <v>9</v>
      </c>
      <c r="B11" s="2">
        <v>18</v>
      </c>
      <c r="K11" t="s">
        <v>10</v>
      </c>
      <c r="L11" s="11">
        <f>L18-$L20</f>
        <v>14.909090909090908</v>
      </c>
      <c r="M11" s="12">
        <f>M18-$L20</f>
        <v>11.1</v>
      </c>
      <c r="O11" t="s">
        <v>24</v>
      </c>
      <c r="P11">
        <v>19</v>
      </c>
      <c r="T11" t="s">
        <v>25</v>
      </c>
      <c r="X11" t="s">
        <v>26</v>
      </c>
      <c r="Y11">
        <v>0.05</v>
      </c>
      <c r="AE11" s="13" t="e">
        <f ca="1">STDEV_POOLED(A4:A14,B4:B14)</f>
        <v>#NAME?</v>
      </c>
      <c r="AG11" t="e">
        <f ca="1">FTEXT(AE11)</f>
        <v>#NAME?</v>
      </c>
    </row>
    <row r="12" spans="1:33" ht="15" thickTop="1" x14ac:dyDescent="0.35">
      <c r="A12" s="2">
        <v>12</v>
      </c>
      <c r="B12" s="2">
        <v>4</v>
      </c>
      <c r="O12" t="s">
        <v>27</v>
      </c>
      <c r="P12">
        <v>2.2019926147419069</v>
      </c>
      <c r="T12" s="7" t="s">
        <v>28</v>
      </c>
      <c r="U12" s="7" t="s">
        <v>29</v>
      </c>
      <c r="V12" s="7" t="s">
        <v>30</v>
      </c>
      <c r="W12" s="7" t="s">
        <v>24</v>
      </c>
      <c r="X12" s="7" t="s">
        <v>31</v>
      </c>
      <c r="Y12" s="7" t="s">
        <v>32</v>
      </c>
      <c r="Z12" s="7" t="s">
        <v>33</v>
      </c>
      <c r="AA12" s="7" t="s">
        <v>34</v>
      </c>
      <c r="AB12" s="7" t="s">
        <v>35</v>
      </c>
      <c r="AC12" s="7" t="s">
        <v>36</v>
      </c>
      <c r="AE12" s="13" t="e">
        <f ca="1">STDERR_POOLED(A4:A14,B4:B13)</f>
        <v>#NAME?</v>
      </c>
      <c r="AG12" t="e">
        <f ca="1">FTEXT(AE12)</f>
        <v>#NAME?</v>
      </c>
    </row>
    <row r="13" spans="1:33" x14ac:dyDescent="0.35">
      <c r="A13" s="2">
        <v>15</v>
      </c>
      <c r="B13" s="2">
        <v>11</v>
      </c>
      <c r="K13" t="s">
        <v>9</v>
      </c>
      <c r="L13" s="23">
        <f t="array" ref="L13">MIN(IF(A4:A14&gt;=L14-3*(L16-L14)/2,A4:A14,""))</f>
        <v>9</v>
      </c>
      <c r="M13" s="24">
        <f t="array" ref="M13">MIN(IF(B4:B14&gt;=M14-3*(M16-M14)/2,B4:B14,""))</f>
        <v>4</v>
      </c>
      <c r="O13" t="s">
        <v>37</v>
      </c>
      <c r="P13">
        <v>2.0109585949251368E-2</v>
      </c>
      <c r="T13" t="s">
        <v>38</v>
      </c>
      <c r="U13">
        <f>SQRT(W9*(1/U7+1/U8))</f>
        <v>1.7298381854642904</v>
      </c>
      <c r="V13">
        <f>(ABS(V7-V8-X5))/U13</f>
        <v>2.2019926147419069</v>
      </c>
      <c r="W13">
        <f>U7+U8-2</f>
        <v>19</v>
      </c>
      <c r="X13">
        <f>TDIST(V13,W13,1)</f>
        <v>2.0109585949251368E-2</v>
      </c>
      <c r="Y13">
        <f>TINV(Y11*2,W13)</f>
        <v>1.7291328115213698</v>
      </c>
      <c r="AB13" s="2" t="str">
        <f>IF(X13&lt;Y11,"yes","no")</f>
        <v>yes</v>
      </c>
      <c r="AC13">
        <f>SQRT(V13^2/(V13^2+W13))</f>
        <v>0.45090271676761834</v>
      </c>
      <c r="AE13" s="8" t="e">
        <f ca="1">STDERR_POOLED(A4:A14,B4:B13,FALSE)</f>
        <v>#NAME?</v>
      </c>
      <c r="AG13" t="e">
        <f ca="1">FTEXT(AE13)</f>
        <v>#NAME?</v>
      </c>
    </row>
    <row r="14" spans="1:33" x14ac:dyDescent="0.35">
      <c r="A14" s="14">
        <v>16</v>
      </c>
      <c r="B14" s="14"/>
      <c r="K14" t="s">
        <v>39</v>
      </c>
      <c r="L14" s="9">
        <f>QUARTILE(A4:A14,1)</f>
        <v>12.5</v>
      </c>
      <c r="M14" s="10">
        <f>QUARTILE(B4:B14,1)</f>
        <v>8.5</v>
      </c>
      <c r="O14" t="s">
        <v>40</v>
      </c>
      <c r="P14">
        <v>1.7291328115213698</v>
      </c>
      <c r="T14" t="s">
        <v>41</v>
      </c>
      <c r="U14">
        <f>U13</f>
        <v>1.7298381854642904</v>
      </c>
      <c r="V14">
        <f>V13</f>
        <v>2.2019926147419069</v>
      </c>
      <c r="W14">
        <f>W13</f>
        <v>19</v>
      </c>
      <c r="X14">
        <f>TDIST(V14,W14,2)</f>
        <v>4.0219171898502735E-2</v>
      </c>
      <c r="Y14">
        <f>TINV(Y11,W14)</f>
        <v>2.0930240544083096</v>
      </c>
      <c r="Z14">
        <f>(V7-V8)-Y14*U14</f>
        <v>0.18849797668012602</v>
      </c>
      <c r="AA14">
        <f>(V7-V8)+Y14*U14</f>
        <v>7.4296838415016913</v>
      </c>
      <c r="AB14" s="2" t="str">
        <f>IF(X14&lt;Y11,"yes","no")</f>
        <v>yes</v>
      </c>
      <c r="AC14">
        <f>AC13</f>
        <v>0.45090271676761834</v>
      </c>
    </row>
    <row r="15" spans="1:33" x14ac:dyDescent="0.35">
      <c r="A15" s="2"/>
      <c r="B15" s="2"/>
      <c r="K15" t="s">
        <v>42</v>
      </c>
      <c r="L15" s="9">
        <f>MEDIAN(A4:A14)</f>
        <v>15</v>
      </c>
      <c r="M15" s="10">
        <f>MEDIAN(B4:B14)</f>
        <v>11.5</v>
      </c>
      <c r="O15" t="s">
        <v>43</v>
      </c>
      <c r="P15">
        <v>4.0219171898502735E-2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33" ht="15" thickBot="1" x14ac:dyDescent="0.4">
      <c r="A16" s="2">
        <f>COUNT(A4:A14)</f>
        <v>11</v>
      </c>
      <c r="B16" s="2">
        <f>COUNT(B4:B14)</f>
        <v>10</v>
      </c>
      <c r="C16" t="s">
        <v>44</v>
      </c>
      <c r="K16" t="s">
        <v>45</v>
      </c>
      <c r="L16" s="9">
        <f>QUARTILE(A4:A14,3)</f>
        <v>17.5</v>
      </c>
      <c r="M16" s="10">
        <f>QUARTILE(B4:B14,3)</f>
        <v>13.5</v>
      </c>
      <c r="O16" s="15" t="s">
        <v>46</v>
      </c>
      <c r="P16" s="15">
        <v>2.0930240544083096</v>
      </c>
      <c r="Q16" s="15"/>
      <c r="T16" t="s">
        <v>47</v>
      </c>
      <c r="X16" t="s">
        <v>26</v>
      </c>
      <c r="Y16">
        <f>Y11</f>
        <v>0.05</v>
      </c>
    </row>
    <row r="17" spans="1:29" ht="15" thickTop="1" x14ac:dyDescent="0.35">
      <c r="A17" s="2">
        <f>AVERAGE(A4:A14)</f>
        <v>14.909090909090908</v>
      </c>
      <c r="B17" s="2">
        <f>AVERAGE(B4:B14)</f>
        <v>11.1</v>
      </c>
      <c r="C17" t="s">
        <v>48</v>
      </c>
      <c r="K17" t="s">
        <v>49</v>
      </c>
      <c r="L17" s="9">
        <f t="array" ref="L17">MAX(IF(A4:A14&lt;=L16+3*(L16-L14)/2,A4:A14,""))</f>
        <v>20</v>
      </c>
      <c r="M17" s="10">
        <f t="array" ref="M17">MAX(IF(B4:B14&lt;=M16+3*(M16-M14)/2,B4:B14,""))</f>
        <v>18</v>
      </c>
      <c r="T17" s="7" t="s">
        <v>28</v>
      </c>
      <c r="U17" s="7" t="s">
        <v>29</v>
      </c>
      <c r="V17" s="7" t="s">
        <v>30</v>
      </c>
      <c r="W17" s="7" t="s">
        <v>24</v>
      </c>
      <c r="X17" s="7" t="s">
        <v>31</v>
      </c>
      <c r="Y17" s="7" t="s">
        <v>32</v>
      </c>
      <c r="Z17" s="7" t="s">
        <v>33</v>
      </c>
      <c r="AA17" s="7" t="s">
        <v>34</v>
      </c>
      <c r="AB17" s="7" t="s">
        <v>35</v>
      </c>
      <c r="AC17" s="7" t="s">
        <v>36</v>
      </c>
    </row>
    <row r="18" spans="1:29" x14ac:dyDescent="0.35">
      <c r="A18">
        <f>VAR(A4:A14)</f>
        <v>12.8909090909091</v>
      </c>
      <c r="B18">
        <f>VAR(B4:B14)</f>
        <v>18.766666666666676</v>
      </c>
      <c r="C18" t="s">
        <v>50</v>
      </c>
      <c r="K18" t="s">
        <v>10</v>
      </c>
      <c r="L18" s="11">
        <f>AVERAGE(A4:A14)</f>
        <v>14.909090909090908</v>
      </c>
      <c r="M18" s="12">
        <f>AVERAGE(B4:B14)</f>
        <v>11.1</v>
      </c>
      <c r="T18" t="s">
        <v>38</v>
      </c>
      <c r="U18">
        <f>SQRT(W7/U7+W8/U8)</f>
        <v>1.7460147459609123</v>
      </c>
      <c r="V18">
        <f>(ABS(V7-V8-X5))/U18</f>
        <v>2.1815914887904286</v>
      </c>
      <c r="W18">
        <f>(W7/U7+W8/U8)^2/((W7/U7)^2/(U7-1)+(W8/U8)^2/(U8-1))</f>
        <v>17.580019826042967</v>
      </c>
      <c r="X18" t="e">
        <f ca="1">T_DIST_RT(V18,W18)</f>
        <v>#NAME?</v>
      </c>
      <c r="Y18" t="e">
        <f ca="1">T_INV(1-Y16,W18)</f>
        <v>#NAME?</v>
      </c>
      <c r="AB18" s="2" t="e">
        <f ca="1">IF(X18&lt;Y16,"yes","no")</f>
        <v>#NAME?</v>
      </c>
      <c r="AC18">
        <f>SQRT(V18^2/(V18^2+W18))</f>
        <v>0.46157051137579624</v>
      </c>
    </row>
    <row r="19" spans="1:29" x14ac:dyDescent="0.35">
      <c r="O19" t="s">
        <v>51</v>
      </c>
      <c r="T19" t="s">
        <v>41</v>
      </c>
      <c r="U19">
        <f>U18</f>
        <v>1.7460147459609123</v>
      </c>
      <c r="V19">
        <f>V18</f>
        <v>2.1815914887904286</v>
      </c>
      <c r="W19">
        <f>W18</f>
        <v>17.580019826042967</v>
      </c>
      <c r="X19" t="e">
        <f ca="1">T_DIST_2T(V19,W19)</f>
        <v>#NAME?</v>
      </c>
      <c r="Y19" t="e">
        <f ca="1">T_INV_2T(Y16,W19)</f>
        <v>#NAME?</v>
      </c>
      <c r="Z19" t="e">
        <f ca="1">(V7-V8)-Y19*U19</f>
        <v>#NAME?</v>
      </c>
      <c r="AA19" t="e">
        <f ca="1">(V7-V8)+Y19*U19</f>
        <v>#NAME?</v>
      </c>
      <c r="AB19" s="2" t="e">
        <f ca="1">IF(X19&lt;Y16,"yes","no")</f>
        <v>#NAME?</v>
      </c>
      <c r="AC19">
        <f>AC18</f>
        <v>0.46157051137579624</v>
      </c>
    </row>
    <row r="20" spans="1:29" ht="15" thickBot="1" x14ac:dyDescent="0.4">
      <c r="K20" t="s">
        <v>52</v>
      </c>
      <c r="L20" s="26">
        <f>IF(MIN(L13:M13)&gt;=0,0,MIN(L13:M13))</f>
        <v>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x14ac:dyDescent="0.35">
      <c r="O21" s="4"/>
      <c r="P21" s="4" t="s">
        <v>1</v>
      </c>
      <c r="Q21" s="4" t="s">
        <v>2</v>
      </c>
    </row>
    <row r="22" spans="1:29" x14ac:dyDescent="0.35">
      <c r="O22" t="s">
        <v>10</v>
      </c>
      <c r="P22">
        <v>14.909090909090908</v>
      </c>
      <c r="Q22">
        <v>11.1</v>
      </c>
    </row>
    <row r="23" spans="1:29" x14ac:dyDescent="0.35">
      <c r="O23" t="s">
        <v>13</v>
      </c>
      <c r="P23">
        <v>12.8909090909091</v>
      </c>
      <c r="Q23">
        <v>18.766666666666676</v>
      </c>
    </row>
    <row r="24" spans="1:29" x14ac:dyDescent="0.35">
      <c r="O24" t="s">
        <v>17</v>
      </c>
      <c r="P24">
        <v>11</v>
      </c>
      <c r="Q24">
        <v>10</v>
      </c>
    </row>
    <row r="25" spans="1:29" x14ac:dyDescent="0.35">
      <c r="O25" t="s">
        <v>23</v>
      </c>
      <c r="P25">
        <v>0</v>
      </c>
    </row>
    <row r="26" spans="1:29" x14ac:dyDescent="0.35">
      <c r="O26" t="s">
        <v>24</v>
      </c>
      <c r="P26">
        <v>18</v>
      </c>
    </row>
    <row r="27" spans="1:29" x14ac:dyDescent="0.35">
      <c r="O27" t="s">
        <v>27</v>
      </c>
      <c r="P27">
        <v>2.1815914887904286</v>
      </c>
    </row>
    <row r="28" spans="1:29" x14ac:dyDescent="0.35">
      <c r="O28" t="s">
        <v>37</v>
      </c>
      <c r="P28">
        <v>2.1321125482647356E-2</v>
      </c>
    </row>
    <row r="29" spans="1:29" x14ac:dyDescent="0.35">
      <c r="O29" t="s">
        <v>40</v>
      </c>
      <c r="P29">
        <v>1.7340636066175394</v>
      </c>
    </row>
    <row r="30" spans="1:29" x14ac:dyDescent="0.35">
      <c r="O30" t="s">
        <v>43</v>
      </c>
      <c r="P30">
        <v>4.2642250965294712E-2</v>
      </c>
    </row>
    <row r="31" spans="1:29" ht="15" thickBot="1" x14ac:dyDescent="0.4">
      <c r="O31" s="15" t="s">
        <v>46</v>
      </c>
      <c r="P31" s="15">
        <v>2.1009220402410378</v>
      </c>
      <c r="Q31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C6FD-B9AE-49F7-974D-DBFF14FA784F}">
  <sheetPr codeName="Sheet28"/>
  <dimension ref="A1:W55"/>
  <sheetViews>
    <sheetView workbookViewId="0"/>
  </sheetViews>
  <sheetFormatPr defaultRowHeight="14.5" x14ac:dyDescent="0.35"/>
  <cols>
    <col min="16" max="16" width="28.81640625" customWidth="1"/>
    <col min="19" max="19" width="10.1796875" customWidth="1"/>
    <col min="20" max="20" width="4.90625" customWidth="1"/>
    <col min="22" max="22" width="2.08984375" customWidth="1"/>
    <col min="23" max="23" width="54.36328125" customWidth="1"/>
  </cols>
  <sheetData>
    <row r="1" spans="1:15" x14ac:dyDescent="0.35">
      <c r="A1" s="1" t="s">
        <v>0</v>
      </c>
    </row>
    <row r="3" spans="1:15" x14ac:dyDescent="0.35">
      <c r="A3" s="18" t="s">
        <v>1</v>
      </c>
      <c r="B3" s="18" t="s">
        <v>2</v>
      </c>
      <c r="K3" t="s">
        <v>3</v>
      </c>
      <c r="O3" s="2"/>
    </row>
    <row r="4" spans="1:15" x14ac:dyDescent="0.35">
      <c r="A4" s="2">
        <v>20</v>
      </c>
      <c r="B4" s="2">
        <v>12</v>
      </c>
    </row>
    <row r="5" spans="1:15" x14ac:dyDescent="0.35">
      <c r="A5" s="2">
        <v>32</v>
      </c>
      <c r="B5" s="2">
        <v>8</v>
      </c>
      <c r="L5" s="3" t="str">
        <f>A3</f>
        <v>New</v>
      </c>
      <c r="M5" s="3" t="str">
        <f>B3</f>
        <v>Old</v>
      </c>
    </row>
    <row r="6" spans="1:15" x14ac:dyDescent="0.35">
      <c r="A6" s="2">
        <v>2</v>
      </c>
      <c r="B6" s="2">
        <v>6</v>
      </c>
      <c r="K6" t="s">
        <v>9</v>
      </c>
      <c r="L6" s="5">
        <f>MIN(A4:A13)</f>
        <v>2</v>
      </c>
      <c r="M6" s="6">
        <f>MIN(B4:B13)</f>
        <v>4</v>
      </c>
    </row>
    <row r="7" spans="1:15" x14ac:dyDescent="0.35">
      <c r="A7" s="2">
        <v>25</v>
      </c>
      <c r="B7" s="2">
        <v>16</v>
      </c>
      <c r="K7" t="s">
        <v>15</v>
      </c>
      <c r="L7" s="9">
        <f>QUARTILE(A4:A13,1)-L6</f>
        <v>7.75</v>
      </c>
      <c r="M7" s="10">
        <f>QUARTILE(B4:B13,1)-M6</f>
        <v>4.5</v>
      </c>
    </row>
    <row r="8" spans="1:15" x14ac:dyDescent="0.35">
      <c r="A8" s="2">
        <v>5</v>
      </c>
      <c r="B8" s="2">
        <v>12</v>
      </c>
      <c r="K8" t="s">
        <v>16</v>
      </c>
      <c r="L8" s="9">
        <f>MEDIAN(A4:A13)-QUARTILE(A4:A13,1)</f>
        <v>10.75</v>
      </c>
      <c r="M8" s="10">
        <f>MEDIAN(B4:B13)-QUARTILE(B4:B13,1)</f>
        <v>3</v>
      </c>
    </row>
    <row r="9" spans="1:15" x14ac:dyDescent="0.35">
      <c r="A9" s="2">
        <v>18</v>
      </c>
      <c r="B9" s="2">
        <v>14</v>
      </c>
      <c r="K9" t="s">
        <v>19</v>
      </c>
      <c r="L9" s="9">
        <f>QUARTILE(A4:A13,3)-MEDIAN(A4:A13)</f>
        <v>6.75</v>
      </c>
      <c r="M9" s="10">
        <f>QUARTILE(B4:B13,3)-MEDIAN(B4:B13)</f>
        <v>2</v>
      </c>
    </row>
    <row r="10" spans="1:15" x14ac:dyDescent="0.35">
      <c r="A10" s="2">
        <v>21</v>
      </c>
      <c r="B10" s="2">
        <v>10</v>
      </c>
      <c r="K10" t="s">
        <v>22</v>
      </c>
      <c r="L10" s="9">
        <f>MAX(A4:A13)-QUARTILE(A4:A13,3)</f>
        <v>12.75</v>
      </c>
      <c r="M10" s="10">
        <f>MAX(B4:B13)-QUARTILE(B4:B13,3)</f>
        <v>4.5</v>
      </c>
    </row>
    <row r="11" spans="1:15" x14ac:dyDescent="0.35">
      <c r="A11" s="2">
        <v>7</v>
      </c>
      <c r="B11" s="2">
        <v>18</v>
      </c>
      <c r="K11" t="s">
        <v>10</v>
      </c>
      <c r="L11" s="11">
        <f>AVERAGE(A4:A13)</f>
        <v>19.8</v>
      </c>
      <c r="M11" s="12">
        <f>AVERAGE(B4:B13)</f>
        <v>11.1</v>
      </c>
    </row>
    <row r="12" spans="1:15" x14ac:dyDescent="0.35">
      <c r="A12" s="2">
        <v>28</v>
      </c>
      <c r="B12" s="2">
        <v>4</v>
      </c>
    </row>
    <row r="13" spans="1:15" x14ac:dyDescent="0.35">
      <c r="A13" s="14">
        <v>40</v>
      </c>
      <c r="B13" s="14">
        <v>11</v>
      </c>
    </row>
    <row r="14" spans="1:15" x14ac:dyDescent="0.35">
      <c r="A14" s="2"/>
      <c r="B14" s="2"/>
    </row>
    <row r="15" spans="1:15" x14ac:dyDescent="0.35">
      <c r="A15" s="2">
        <f>COUNT(A4:A13)</f>
        <v>10</v>
      </c>
      <c r="B15" s="2">
        <f>COUNT(B4:B13)</f>
        <v>10</v>
      </c>
      <c r="C15" t="s">
        <v>44</v>
      </c>
    </row>
    <row r="16" spans="1:15" x14ac:dyDescent="0.35">
      <c r="A16" s="2">
        <f>AVERAGE(A4:A13)</f>
        <v>19.8</v>
      </c>
      <c r="B16" s="2">
        <f>AVERAGE(B4:B13)</f>
        <v>11.1</v>
      </c>
      <c r="C16" t="s">
        <v>48</v>
      </c>
    </row>
    <row r="17" spans="1:18" x14ac:dyDescent="0.35">
      <c r="A17">
        <f>VAR(A4:A13)</f>
        <v>150.62222222222221</v>
      </c>
      <c r="B17">
        <f>VAR(B4:B13)</f>
        <v>18.766666666666676</v>
      </c>
      <c r="C17" t="s">
        <v>50</v>
      </c>
    </row>
    <row r="19" spans="1:18" x14ac:dyDescent="0.35">
      <c r="E19" t="s">
        <v>5</v>
      </c>
      <c r="P19" t="s">
        <v>4</v>
      </c>
    </row>
    <row r="20" spans="1:18" ht="15" thickBot="1" x14ac:dyDescent="0.4"/>
    <row r="21" spans="1:18" ht="15" thickBot="1" x14ac:dyDescent="0.4">
      <c r="E21" t="s">
        <v>7</v>
      </c>
      <c r="H21" t="s">
        <v>8</v>
      </c>
      <c r="I21">
        <v>0</v>
      </c>
      <c r="P21" s="4"/>
      <c r="Q21" s="4" t="s">
        <v>1</v>
      </c>
      <c r="R21" s="4" t="s">
        <v>2</v>
      </c>
    </row>
    <row r="22" spans="1:18" ht="15" thickTop="1" x14ac:dyDescent="0.35">
      <c r="E22" s="7" t="s">
        <v>11</v>
      </c>
      <c r="F22" s="7" t="s">
        <v>12</v>
      </c>
      <c r="G22" s="7" t="s">
        <v>10</v>
      </c>
      <c r="H22" s="7" t="s">
        <v>13</v>
      </c>
      <c r="I22" s="7" t="s">
        <v>14</v>
      </c>
      <c r="P22" t="s">
        <v>10</v>
      </c>
      <c r="Q22">
        <v>19.8</v>
      </c>
      <c r="R22">
        <v>11.1</v>
      </c>
    </row>
    <row r="23" spans="1:18" x14ac:dyDescent="0.35">
      <c r="E23" t="str">
        <f>A3</f>
        <v>New</v>
      </c>
      <c r="F23">
        <f>COUNT(A4:A13)</f>
        <v>10</v>
      </c>
      <c r="G23">
        <f>AVERAGE(A4:A13)</f>
        <v>19.8</v>
      </c>
      <c r="H23">
        <f>VAR(A4:A13)</f>
        <v>150.62222222222221</v>
      </c>
      <c r="P23" t="s">
        <v>13</v>
      </c>
      <c r="Q23">
        <v>150.62222222222221</v>
      </c>
      <c r="R23">
        <v>18.766666666666676</v>
      </c>
    </row>
    <row r="24" spans="1:18" x14ac:dyDescent="0.35">
      <c r="E24" t="str">
        <f>B3</f>
        <v>Old</v>
      </c>
      <c r="F24">
        <f>COUNT(B4:B13)</f>
        <v>10</v>
      </c>
      <c r="G24">
        <f>AVERAGE(B4:B13)</f>
        <v>11.1</v>
      </c>
      <c r="H24">
        <f>VAR(B4:B13)</f>
        <v>18.766666666666676</v>
      </c>
      <c r="P24" t="s">
        <v>17</v>
      </c>
      <c r="Q24">
        <v>10</v>
      </c>
      <c r="R24">
        <v>10</v>
      </c>
    </row>
    <row r="25" spans="1:18" x14ac:dyDescent="0.35">
      <c r="E25" s="17" t="s">
        <v>21</v>
      </c>
      <c r="F25" s="17"/>
      <c r="G25" s="17"/>
      <c r="H25" s="17">
        <f>((F23-1)*H23+(F24-1)*H24)/(F23+F24-2)</f>
        <v>84.694444444444443</v>
      </c>
      <c r="I25" s="17">
        <f>ABS(G23-G24-I21)/SQRT(H25)</f>
        <v>0.945348176499756</v>
      </c>
      <c r="P25" t="s">
        <v>20</v>
      </c>
      <c r="Q25">
        <v>84.694444444444443</v>
      </c>
    </row>
    <row r="26" spans="1:18" x14ac:dyDescent="0.35">
      <c r="P26" t="s">
        <v>23</v>
      </c>
      <c r="Q26">
        <v>0</v>
      </c>
    </row>
    <row r="27" spans="1:18" ht="15" thickBot="1" x14ac:dyDescent="0.4">
      <c r="E27" t="s">
        <v>25</v>
      </c>
      <c r="I27" t="s">
        <v>26</v>
      </c>
      <c r="J27">
        <v>0.05</v>
      </c>
      <c r="P27" t="s">
        <v>24</v>
      </c>
      <c r="Q27">
        <v>18</v>
      </c>
    </row>
    <row r="28" spans="1:18" ht="15" thickTop="1" x14ac:dyDescent="0.35">
      <c r="E28" s="7" t="s">
        <v>28</v>
      </c>
      <c r="F28" s="7" t="s">
        <v>29</v>
      </c>
      <c r="G28" s="7" t="s">
        <v>30</v>
      </c>
      <c r="H28" s="7" t="s">
        <v>24</v>
      </c>
      <c r="I28" s="7" t="s">
        <v>31</v>
      </c>
      <c r="J28" s="7" t="s">
        <v>32</v>
      </c>
      <c r="K28" s="7" t="s">
        <v>33</v>
      </c>
      <c r="L28" s="7" t="s">
        <v>34</v>
      </c>
      <c r="M28" s="7" t="s">
        <v>35</v>
      </c>
      <c r="N28" s="7" t="s">
        <v>36</v>
      </c>
      <c r="P28" t="s">
        <v>27</v>
      </c>
      <c r="Q28">
        <v>2.1138627850589233</v>
      </c>
    </row>
    <row r="29" spans="1:18" x14ac:dyDescent="0.35">
      <c r="E29" t="s">
        <v>38</v>
      </c>
      <c r="F29">
        <f>SQRT(H25*(1/F23+1/F24))</f>
        <v>4.1156881428126804</v>
      </c>
      <c r="G29">
        <f>(ABS(G23-G24-I21))/F29</f>
        <v>2.1138627850589233</v>
      </c>
      <c r="H29">
        <f>F23+F24-2</f>
        <v>18</v>
      </c>
      <c r="I29">
        <f>TDIST(G29,H29,1)</f>
        <v>2.4373360730381408E-2</v>
      </c>
      <c r="J29">
        <f>TINV(J27*2,H29)</f>
        <v>1.7340636066175394</v>
      </c>
      <c r="M29" s="2" t="str">
        <f>IF(I29&lt;J27,"yes","no")</f>
        <v>yes</v>
      </c>
      <c r="N29">
        <f>SQRT(G29^2/(G29^2+H29))</f>
        <v>0.44595451590159751</v>
      </c>
      <c r="P29" t="s">
        <v>37</v>
      </c>
      <c r="Q29">
        <v>2.4373360730381408E-2</v>
      </c>
    </row>
    <row r="30" spans="1:18" x14ac:dyDescent="0.35">
      <c r="E30" t="s">
        <v>41</v>
      </c>
      <c r="F30">
        <f>F29</f>
        <v>4.1156881428126804</v>
      </c>
      <c r="G30">
        <f>G29</f>
        <v>2.1138627850589233</v>
      </c>
      <c r="H30">
        <f>H29</f>
        <v>18</v>
      </c>
      <c r="I30">
        <f>TDIST(G30,H30,2)</f>
        <v>4.8746721460762817E-2</v>
      </c>
      <c r="J30">
        <f>TINV(J27,H30)</f>
        <v>2.1009220402410378</v>
      </c>
      <c r="K30">
        <f>(G23-G24)-J30*F30</f>
        <v>5.3260070006137639E-2</v>
      </c>
      <c r="L30">
        <f>(G23-G24)+J30*F30</f>
        <v>17.346739929993866</v>
      </c>
      <c r="M30" s="2" t="str">
        <f>IF(I30&lt;J27,"yes","no")</f>
        <v>yes</v>
      </c>
      <c r="N30">
        <f>N29</f>
        <v>0.44595451590159751</v>
      </c>
      <c r="P30" t="s">
        <v>40</v>
      </c>
      <c r="Q30">
        <v>1.7340636066175394</v>
      </c>
    </row>
    <row r="31" spans="1:18" x14ac:dyDescent="0.35">
      <c r="E31" s="17"/>
      <c r="F31" s="17"/>
      <c r="G31" s="17"/>
      <c r="H31" s="17"/>
      <c r="I31" s="17"/>
      <c r="J31" s="17"/>
      <c r="K31" s="17"/>
      <c r="L31" s="17"/>
      <c r="M31" s="17"/>
      <c r="N31" s="17"/>
      <c r="P31" t="s">
        <v>43</v>
      </c>
      <c r="Q31">
        <v>4.8746721460762817E-2</v>
      </c>
    </row>
    <row r="32" spans="1:18" ht="15" thickBot="1" x14ac:dyDescent="0.4">
      <c r="E32" t="s">
        <v>47</v>
      </c>
      <c r="I32" t="s">
        <v>26</v>
      </c>
      <c r="J32">
        <f>J27</f>
        <v>0.05</v>
      </c>
      <c r="P32" s="15" t="s">
        <v>46</v>
      </c>
      <c r="Q32" s="15">
        <v>2.1009220402410378</v>
      </c>
      <c r="R32" s="15"/>
    </row>
    <row r="33" spans="5:23" ht="15" thickTop="1" x14ac:dyDescent="0.35">
      <c r="E33" s="7" t="s">
        <v>28</v>
      </c>
      <c r="F33" s="7" t="s">
        <v>29</v>
      </c>
      <c r="G33" s="7" t="s">
        <v>30</v>
      </c>
      <c r="H33" s="7" t="s">
        <v>24</v>
      </c>
      <c r="I33" s="7" t="s">
        <v>31</v>
      </c>
      <c r="J33" s="7" t="s">
        <v>32</v>
      </c>
      <c r="K33" s="7" t="s">
        <v>33</v>
      </c>
      <c r="L33" s="7" t="s">
        <v>34</v>
      </c>
      <c r="M33" s="7" t="s">
        <v>35</v>
      </c>
      <c r="N33" s="7" t="s">
        <v>36</v>
      </c>
    </row>
    <row r="34" spans="5:23" x14ac:dyDescent="0.35">
      <c r="E34" t="s">
        <v>38</v>
      </c>
      <c r="F34">
        <f>SQRT(H23/F23+H24/F24)</f>
        <v>4.1156881428126804</v>
      </c>
      <c r="G34">
        <f>(ABS(G23-G24-I21))/F34</f>
        <v>2.1138627850589233</v>
      </c>
      <c r="H34">
        <f>(H23/F23+H24/F24)^2/((H23/F23)^2/(F23-1)+(H24/F24)^2/(F24-1))</f>
        <v>11.208414128343572</v>
      </c>
      <c r="I34" t="e">
        <f ca="1">T_DIST_RT(G34,H34)</f>
        <v>#NAME?</v>
      </c>
      <c r="J34" t="e">
        <f ca="1">T_INV(1-J32,H34)</f>
        <v>#NAME?</v>
      </c>
      <c r="M34" s="2" t="e">
        <f ca="1">IF(I34&lt;J32,"yes","no")</f>
        <v>#NAME?</v>
      </c>
      <c r="N34">
        <f>SQRT(G34^2/(G34^2+H34))</f>
        <v>0.53388493780051027</v>
      </c>
    </row>
    <row r="35" spans="5:23" x14ac:dyDescent="0.35">
      <c r="E35" t="s">
        <v>41</v>
      </c>
      <c r="F35">
        <f>F34</f>
        <v>4.1156881428126804</v>
      </c>
      <c r="G35">
        <f>G34</f>
        <v>2.1138627850589233</v>
      </c>
      <c r="H35">
        <f>H34</f>
        <v>11.208414128343572</v>
      </c>
      <c r="I35" t="e">
        <f ca="1">T_DIST_2T(G35,H35)</f>
        <v>#NAME?</v>
      </c>
      <c r="J35" t="e">
        <f ca="1">T_INV_2T(J32,H35)</f>
        <v>#NAME?</v>
      </c>
      <c r="K35" t="e">
        <f ca="1">(G23-G24)-J35*F35</f>
        <v>#NAME?</v>
      </c>
      <c r="L35" t="e">
        <f ca="1">(G23-G24)+J35*F35</f>
        <v>#NAME?</v>
      </c>
      <c r="M35" s="2" t="e">
        <f ca="1">IF(I35&lt;J32,"yes","no")</f>
        <v>#NAME?</v>
      </c>
      <c r="N35">
        <f>N34</f>
        <v>0.53388493780051027</v>
      </c>
      <c r="P35" t="s">
        <v>51</v>
      </c>
    </row>
    <row r="36" spans="5:23" ht="15" thickBot="1" x14ac:dyDescent="0.4"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5:23" x14ac:dyDescent="0.35">
      <c r="P37" s="4"/>
      <c r="Q37" s="4" t="s">
        <v>1</v>
      </c>
      <c r="R37" s="4" t="s">
        <v>2</v>
      </c>
    </row>
    <row r="38" spans="5:23" x14ac:dyDescent="0.35">
      <c r="E38" t="s">
        <v>53</v>
      </c>
      <c r="P38" t="s">
        <v>10</v>
      </c>
      <c r="Q38">
        <v>19.8</v>
      </c>
      <c r="R38">
        <v>11.1</v>
      </c>
      <c r="T38" t="s">
        <v>69</v>
      </c>
      <c r="U38" s="29">
        <f>SQRT(AVERAGE(Q39:R39))</f>
        <v>9.2029584615190156</v>
      </c>
      <c r="W38" t="e" cm="1">
        <f t="array" aca="1" ref="W38" ca="1">FTEXT(U38)</f>
        <v>#NAME?</v>
      </c>
    </row>
    <row r="39" spans="5:23" x14ac:dyDescent="0.35">
      <c r="P39" t="s">
        <v>13</v>
      </c>
      <c r="Q39">
        <v>150.62222222222221</v>
      </c>
      <c r="R39">
        <v>18.766666666666676</v>
      </c>
      <c r="T39" t="s">
        <v>70</v>
      </c>
      <c r="U39" s="13">
        <f>(Q38-R38)/U38</f>
        <v>0.945348176499756</v>
      </c>
      <c r="W39" t="e" cm="1">
        <f t="array" aca="1" ref="W39" ca="1">FTEXT(U39)</f>
        <v>#NAME?</v>
      </c>
    </row>
    <row r="40" spans="5:23" x14ac:dyDescent="0.35">
      <c r="E40" s="19">
        <f>TTEST(A4:A13,B4:B13,2,3)</f>
        <v>5.7729713764594112E-2</v>
      </c>
      <c r="G40" s="16" t="s">
        <v>54</v>
      </c>
      <c r="P40" t="s">
        <v>17</v>
      </c>
      <c r="Q40">
        <v>10</v>
      </c>
      <c r="R40">
        <v>10</v>
      </c>
      <c r="T40" t="s">
        <v>71</v>
      </c>
      <c r="U40" s="13">
        <f>(Q40-1)*(R40-1)*(Q39+R39)^2/((Q40-1)*Q39^2+(R40-1)*R39^2)</f>
        <v>11.208414128343572</v>
      </c>
      <c r="W40" t="e" cm="1">
        <f t="array" aca="1" ref="W40" ca="1">FTEXT(U40)</f>
        <v>#NAME?</v>
      </c>
    </row>
    <row r="41" spans="5:23" x14ac:dyDescent="0.35">
      <c r="E41" s="8">
        <f>TTEST(A4:A13,B4:B13,2,2)</f>
        <v>4.8746721460762824E-2</v>
      </c>
      <c r="G41" s="16" t="s">
        <v>55</v>
      </c>
      <c r="P41" t="s">
        <v>23</v>
      </c>
      <c r="Q41">
        <v>0</v>
      </c>
      <c r="T41" t="s">
        <v>73</v>
      </c>
      <c r="U41" s="13">
        <f>U40/2</f>
        <v>5.6042070641717858</v>
      </c>
      <c r="W41" t="e" cm="1">
        <f t="array" aca="1" ref="W41" ca="1">FTEXT(U41)</f>
        <v>#NAME?</v>
      </c>
    </row>
    <row r="42" spans="5:23" x14ac:dyDescent="0.35">
      <c r="P42" t="s">
        <v>24</v>
      </c>
      <c r="Q42">
        <v>11</v>
      </c>
      <c r="T42" t="s">
        <v>72</v>
      </c>
      <c r="U42" s="8">
        <f>U39*EXP(GAMMALN(U41)-GAMMALN(U41-0.5))/SQRT(U41)</f>
        <v>0.88039986359842282</v>
      </c>
      <c r="W42" t="e" cm="1">
        <f t="array" aca="1" ref="W42" ca="1">FTEXT(U42)</f>
        <v>#NAME?</v>
      </c>
    </row>
    <row r="43" spans="5:23" x14ac:dyDescent="0.35">
      <c r="E43" t="s">
        <v>56</v>
      </c>
      <c r="P43" t="s">
        <v>27</v>
      </c>
      <c r="Q43">
        <v>2.1138627850589233</v>
      </c>
    </row>
    <row r="44" spans="5:23" x14ac:dyDescent="0.35">
      <c r="P44" t="s">
        <v>37</v>
      </c>
      <c r="Q44">
        <v>2.9092986286339117E-2</v>
      </c>
    </row>
    <row r="45" spans="5:23" x14ac:dyDescent="0.35">
      <c r="E45" s="19" t="e">
        <f ca="1">VAR_POOLED(A4:A13,B4:B13)</f>
        <v>#NAME?</v>
      </c>
      <c r="G45" s="16" t="s">
        <v>57</v>
      </c>
      <c r="P45" t="s">
        <v>40</v>
      </c>
      <c r="Q45">
        <v>1.7958848187040437</v>
      </c>
    </row>
    <row r="46" spans="5:23" x14ac:dyDescent="0.35">
      <c r="E46" s="13" t="e">
        <f ca="1">STDEV_POOLED(A4:A13,B4:B13)</f>
        <v>#NAME?</v>
      </c>
      <c r="G46" s="16" t="s">
        <v>58</v>
      </c>
      <c r="P46" t="s">
        <v>43</v>
      </c>
      <c r="Q46">
        <v>5.8185972572678234E-2</v>
      </c>
    </row>
    <row r="47" spans="5:23" ht="15" thickBot="1" x14ac:dyDescent="0.4">
      <c r="E47" s="13" t="e">
        <f ca="1">STDERR_POOLED(A4:A13,B4:B13)</f>
        <v>#NAME?</v>
      </c>
      <c r="G47" s="16" t="s">
        <v>59</v>
      </c>
      <c r="P47" s="15" t="s">
        <v>46</v>
      </c>
      <c r="Q47" s="15">
        <v>2.2009851600916384</v>
      </c>
      <c r="R47" s="15"/>
    </row>
    <row r="48" spans="5:23" x14ac:dyDescent="0.35">
      <c r="E48" s="8" t="e">
        <f ca="1">DF_POOLED(A4:A13,B4:B13)</f>
        <v>#NAME?</v>
      </c>
      <c r="G48" s="16" t="s">
        <v>60</v>
      </c>
    </row>
    <row r="50" spans="5:7" x14ac:dyDescent="0.35">
      <c r="E50" t="s">
        <v>61</v>
      </c>
    </row>
    <row r="52" spans="5:7" x14ac:dyDescent="0.35">
      <c r="E52" s="20" t="e">
        <f ca="1">VAR_POOLED(A4:A13,B4:B12)</f>
        <v>#NAME?</v>
      </c>
      <c r="G52" s="16" t="s">
        <v>62</v>
      </c>
    </row>
    <row r="53" spans="5:7" x14ac:dyDescent="0.35">
      <c r="E53" s="21" t="e">
        <f ca="1">STDEV_POOLED(A4:A13,B4:B12)</f>
        <v>#NAME?</v>
      </c>
      <c r="G53" s="16" t="s">
        <v>63</v>
      </c>
    </row>
    <row r="54" spans="5:7" x14ac:dyDescent="0.35">
      <c r="E54" s="13" t="e">
        <f ca="1">STDERR_POOLED(A4:A13,B4:B12)</f>
        <v>#NAME?</v>
      </c>
      <c r="G54" s="16" t="s">
        <v>64</v>
      </c>
    </row>
    <row r="55" spans="5:7" x14ac:dyDescent="0.35">
      <c r="E55" s="8" t="e">
        <f ca="1">DF_POOLED(A4:A13,B4:B12)</f>
        <v>#NAME?</v>
      </c>
      <c r="G55" s="16" t="s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2022-06-14T13:45:59Z</dcterms:created>
  <dcterms:modified xsi:type="dcterms:W3CDTF">2024-12-06T11:28:13Z</dcterms:modified>
</cp:coreProperties>
</file>