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0D49E26B-453F-43B5-8700-D6B8201FAD14}" xr6:coauthVersionLast="47" xr6:coauthVersionMax="47" xr10:uidLastSave="{00000000-0000-0000-0000-000000000000}"/>
  <bookViews>
    <workbookView xWindow="-110" yWindow="-110" windowWidth="19420" windowHeight="10300" xr2:uid="{C3918CF3-6332-41BC-B4CD-BAFE4EE7173E}"/>
  </bookViews>
  <sheets>
    <sheet name="Title" sheetId="5" r:id="rId1"/>
    <sheet name="ANCOVA A" sheetId="1" r:id="rId2"/>
    <sheet name="ANCOVA B" sheetId="2" r:id="rId3"/>
    <sheet name="ANCOVA C" sheetId="3" r:id="rId4"/>
    <sheet name="ANCOVA D" sheetId="4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4" l="1"/>
  <c r="S21" i="4"/>
  <c r="S20" i="4"/>
  <c r="S19" i="4"/>
  <c r="S18" i="4"/>
  <c r="M17" i="4" a="1"/>
  <c r="M19" i="4" s="1"/>
  <c r="C14" i="4"/>
  <c r="V13" i="4" a="1"/>
  <c r="V13" i="4" s="1"/>
  <c r="C10" i="4"/>
  <c r="C9" i="4"/>
  <c r="C2" i="4"/>
  <c r="C27" i="3"/>
  <c r="S22" i="3"/>
  <c r="S21" i="3"/>
  <c r="S20" i="3"/>
  <c r="S19" i="3"/>
  <c r="S18" i="3"/>
  <c r="M17" i="3" a="1"/>
  <c r="M19" i="3" s="1"/>
  <c r="V13" i="3" a="1"/>
  <c r="V13" i="3" s="1"/>
  <c r="H25" i="2"/>
  <c r="G25" i="2"/>
  <c r="H24" i="2"/>
  <c r="G24" i="2"/>
  <c r="H23" i="2"/>
  <c r="G23" i="2"/>
  <c r="H22" i="2"/>
  <c r="G22" i="2"/>
  <c r="H21" i="2"/>
  <c r="G21" i="2"/>
  <c r="Q20" i="2"/>
  <c r="H20" i="2"/>
  <c r="G20" i="2"/>
  <c r="Q19" i="2"/>
  <c r="H19" i="2"/>
  <c r="G19" i="2"/>
  <c r="Q18" i="2"/>
  <c r="J20" i="2"/>
  <c r="J19" i="2"/>
  <c r="J18" i="2" a="1"/>
  <c r="J18" i="2" s="1"/>
  <c r="H18" i="2"/>
  <c r="G18" i="2"/>
  <c r="K17" i="2" a="1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L14" i="2" s="1"/>
  <c r="G5" i="2"/>
  <c r="H4" i="2"/>
  <c r="G4" i="2"/>
  <c r="H3" i="2"/>
  <c r="G3" i="2"/>
  <c r="H2" i="2"/>
  <c r="K8" i="2" s="1"/>
  <c r="G2" i="2"/>
  <c r="K12" i="2" s="1"/>
  <c r="X4" i="4" s="1"/>
  <c r="G7" i="1"/>
  <c r="F7" i="1"/>
  <c r="G6" i="1"/>
  <c r="F6" i="1"/>
  <c r="G5" i="1"/>
  <c r="F5" i="1"/>
  <c r="G4" i="1"/>
  <c r="F4" i="1"/>
  <c r="E1" i="3" a="1"/>
  <c r="N19" i="3" l="1"/>
  <c r="O19" i="3" s="1"/>
  <c r="M20" i="3"/>
  <c r="N22" i="3"/>
  <c r="N21" i="4"/>
  <c r="M22" i="4"/>
  <c r="N22" i="4"/>
  <c r="N14" i="3"/>
  <c r="M12" i="3"/>
  <c r="X5" i="3" s="1"/>
  <c r="E1" i="3"/>
  <c r="L18" i="3" s="1" a="1"/>
  <c r="M8" i="3"/>
  <c r="K14" i="2"/>
  <c r="K13" i="2" s="1"/>
  <c r="L18" i="2"/>
  <c r="K18" i="2"/>
  <c r="L17" i="2"/>
  <c r="K17" i="2"/>
  <c r="K19" i="2"/>
  <c r="C25" i="4"/>
  <c r="C12" i="4"/>
  <c r="C24" i="4"/>
  <c r="C5" i="4"/>
  <c r="C23" i="4"/>
  <c r="C21" i="4"/>
  <c r="C11" i="4"/>
  <c r="L19" i="2"/>
  <c r="C3" i="4"/>
  <c r="K20" i="2"/>
  <c r="C16" i="4"/>
  <c r="C18" i="4"/>
  <c r="C22" i="4"/>
  <c r="C15" i="4"/>
  <c r="C4" i="4"/>
  <c r="C6" i="4"/>
  <c r="L20" i="2"/>
  <c r="C17" i="4"/>
  <c r="C19" i="4"/>
  <c r="N18" i="4"/>
  <c r="M18" i="4"/>
  <c r="N17" i="4"/>
  <c r="M17" i="4"/>
  <c r="X4" i="3"/>
  <c r="M22" i="3"/>
  <c r="N21" i="3"/>
  <c r="M21" i="3"/>
  <c r="N20" i="3"/>
  <c r="O20" i="3" s="1"/>
  <c r="M17" i="3"/>
  <c r="C7" i="4"/>
  <c r="N19" i="4"/>
  <c r="O19" i="4" s="1"/>
  <c r="N17" i="3"/>
  <c r="W17" i="3"/>
  <c r="C13" i="4"/>
  <c r="M20" i="4"/>
  <c r="M18" i="3"/>
  <c r="C8" i="4"/>
  <c r="N20" i="4"/>
  <c r="N18" i="3"/>
  <c r="M21" i="4"/>
  <c r="C20" i="4"/>
  <c r="E1" i="4" a="1"/>
  <c r="O22" i="4" l="1"/>
  <c r="E1" i="4"/>
  <c r="L18" i="4" s="1" a="1"/>
  <c r="M8" i="4"/>
  <c r="N14" i="4"/>
  <c r="M12" i="4"/>
  <c r="X5" i="4" s="1"/>
  <c r="X6" i="4" s="1"/>
  <c r="O22" i="3"/>
  <c r="O21" i="4"/>
  <c r="P20" i="2"/>
  <c r="O20" i="2"/>
  <c r="M20" i="2"/>
  <c r="N20" i="2" s="1"/>
  <c r="O19" i="2"/>
  <c r="M19" i="2"/>
  <c r="N19" i="2" s="1"/>
  <c r="P19" i="2"/>
  <c r="L20" i="3"/>
  <c r="L19" i="3"/>
  <c r="L18" i="3"/>
  <c r="L21" i="3"/>
  <c r="L22" i="3"/>
  <c r="O18" i="3"/>
  <c r="W17" i="4"/>
  <c r="O20" i="4"/>
  <c r="W18" i="3"/>
  <c r="W19" i="3"/>
  <c r="O17" i="4"/>
  <c r="V17" i="4"/>
  <c r="N12" i="4"/>
  <c r="O18" i="4"/>
  <c r="Y4" i="4"/>
  <c r="Y4" i="3"/>
  <c r="N12" i="3"/>
  <c r="N13" i="3" s="1"/>
  <c r="V17" i="3"/>
  <c r="O17" i="3"/>
  <c r="M14" i="3"/>
  <c r="M13" i="3" s="1"/>
  <c r="L12" i="2"/>
  <c r="P17" i="2"/>
  <c r="O17" i="2"/>
  <c r="M17" i="2"/>
  <c r="N17" i="2" s="1"/>
  <c r="X6" i="3"/>
  <c r="O21" i="3"/>
  <c r="O18" i="2"/>
  <c r="M18" i="2"/>
  <c r="N18" i="2" s="1"/>
  <c r="P18" i="2"/>
  <c r="O13" i="3" l="1"/>
  <c r="M7" i="3" s="1"/>
  <c r="P4" i="3"/>
  <c r="P5" i="3" s="1"/>
  <c r="P6" i="3"/>
  <c r="Y5" i="3"/>
  <c r="Y6" i="3" s="1"/>
  <c r="V12" i="3"/>
  <c r="Q19" i="3"/>
  <c r="R19" i="3"/>
  <c r="R20" i="3"/>
  <c r="Q20" i="3"/>
  <c r="P19" i="3"/>
  <c r="M5" i="4"/>
  <c r="O12" i="4"/>
  <c r="P18" i="3"/>
  <c r="R21" i="3"/>
  <c r="V19" i="4"/>
  <c r="X17" i="4"/>
  <c r="V18" i="4"/>
  <c r="P17" i="3"/>
  <c r="P20" i="4"/>
  <c r="K5" i="2"/>
  <c r="M12" i="2"/>
  <c r="L13" i="2"/>
  <c r="W19" i="4"/>
  <c r="W18" i="4"/>
  <c r="N13" i="4"/>
  <c r="P4" i="4" s="1"/>
  <c r="P5" i="4" s="1"/>
  <c r="P6" i="4"/>
  <c r="M14" i="4"/>
  <c r="M13" i="4" s="1"/>
  <c r="Q17" i="3"/>
  <c r="Q18" i="3"/>
  <c r="Q21" i="3"/>
  <c r="P17" i="4"/>
  <c r="P21" i="3"/>
  <c r="R17" i="3"/>
  <c r="V11" i="3"/>
  <c r="V10" i="3" s="1"/>
  <c r="V19" i="3"/>
  <c r="X19" i="3" s="1"/>
  <c r="X17" i="3"/>
  <c r="V18" i="3"/>
  <c r="X18" i="3" s="1"/>
  <c r="P20" i="3"/>
  <c r="O12" i="3"/>
  <c r="M5" i="3"/>
  <c r="P22" i="3"/>
  <c r="Q22" i="3"/>
  <c r="R22" i="3"/>
  <c r="R18" i="3"/>
  <c r="L22" i="4"/>
  <c r="L21" i="4"/>
  <c r="L20" i="4"/>
  <c r="L19" i="4"/>
  <c r="L18" i="4"/>
  <c r="P12" i="3" l="1"/>
  <c r="V5" i="3" s="1"/>
  <c r="M6" i="3"/>
  <c r="M4" i="3"/>
  <c r="W5" i="3"/>
  <c r="P12" i="4"/>
  <c r="M13" i="2"/>
  <c r="K7" i="2" s="1"/>
  <c r="N4" i="2"/>
  <c r="N5" i="2" s="1"/>
  <c r="N6" i="2"/>
  <c r="K4" i="2"/>
  <c r="W4" i="4"/>
  <c r="K6" i="2"/>
  <c r="W4" i="3"/>
  <c r="Q12" i="3"/>
  <c r="V12" i="4"/>
  <c r="Y5" i="4"/>
  <c r="Y6" i="4" s="1"/>
  <c r="R22" i="4"/>
  <c r="Q22" i="4"/>
  <c r="R19" i="4"/>
  <c r="Q19" i="4"/>
  <c r="P22" i="4"/>
  <c r="P19" i="4"/>
  <c r="R17" i="4"/>
  <c r="Q17" i="4"/>
  <c r="R21" i="4"/>
  <c r="R20" i="4"/>
  <c r="Q18" i="4"/>
  <c r="Q20" i="4"/>
  <c r="R18" i="4"/>
  <c r="Q21" i="4"/>
  <c r="X18" i="4"/>
  <c r="X19" i="4"/>
  <c r="P18" i="4"/>
  <c r="M6" i="4"/>
  <c r="M4" i="4"/>
  <c r="W5" i="4"/>
  <c r="W6" i="4" s="1"/>
  <c r="V6" i="4" s="1"/>
  <c r="Z6" i="4" s="1"/>
  <c r="V11" i="4"/>
  <c r="V10" i="4" s="1"/>
  <c r="P21" i="4"/>
  <c r="O13" i="4"/>
  <c r="M7" i="4" s="1"/>
  <c r="W6" i="3" l="1"/>
  <c r="V6" i="3" s="1"/>
  <c r="Z6" i="3" s="1"/>
  <c r="V5" i="4"/>
  <c r="Q12" i="4"/>
  <c r="Z5" i="3"/>
  <c r="R12" i="3"/>
  <c r="N12" i="2"/>
  <c r="V4" i="3" l="1"/>
  <c r="O12" i="2"/>
  <c r="V4" i="4"/>
  <c r="R12" i="4"/>
  <c r="Z5" i="4"/>
  <c r="Z4" i="4" l="1"/>
  <c r="P12" i="2"/>
  <c r="Z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<sst xmlns="http://schemas.openxmlformats.org/spreadsheetml/2006/main" count="247" uniqueCount="50">
  <si>
    <t>T</t>
  </si>
  <si>
    <t>P</t>
  </si>
  <si>
    <t>S</t>
  </si>
  <si>
    <t>Means</t>
  </si>
  <si>
    <t>A</t>
  </si>
  <si>
    <t>B</t>
  </si>
  <si>
    <t>C</t>
  </si>
  <si>
    <t>Total</t>
  </si>
  <si>
    <t>Regression Analysis</t>
  </si>
  <si>
    <t>OVERALL FIT</t>
  </si>
  <si>
    <t>Multiple R</t>
  </si>
  <si>
    <t>AIC</t>
  </si>
  <si>
    <t>R Square</t>
  </si>
  <si>
    <t>AICc</t>
  </si>
  <si>
    <t>Adjusted R Square</t>
  </si>
  <si>
    <t>SBC</t>
  </si>
  <si>
    <t>Standard Error</t>
  </si>
  <si>
    <t>Observations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</si>
  <si>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</si>
  <si>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</si>
  <si>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</si>
  <si>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</si>
  <si>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</si>
  <si>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</si>
  <si>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</si>
  <si>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</si>
  <si>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</si>
  <si>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</si>
  <si>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coeff</t>
  </si>
  <si>
    <t>std err</t>
  </si>
  <si>
    <t>t stat</t>
  </si>
  <si>
    <t>lower</t>
  </si>
  <si>
    <t>upper</t>
  </si>
  <si>
    <t>vif</t>
  </si>
  <si>
    <t>Intercept</t>
  </si>
  <si>
    <t>R Square Test</t>
  </si>
  <si>
    <t>F-stat</t>
  </si>
  <si>
    <t>R-square</t>
  </si>
  <si>
    <t>df1</t>
  </si>
  <si>
    <t>df2</t>
  </si>
  <si>
    <t>Reduced</t>
  </si>
  <si>
    <t>Full</t>
  </si>
  <si>
    <t>Test</t>
  </si>
  <si>
    <t>intercept</t>
  </si>
  <si>
    <t>skill</t>
  </si>
  <si>
    <t>mean</t>
  </si>
  <si>
    <t>Real Statistics Using Excel</t>
  </si>
  <si>
    <t>Updated</t>
  </si>
  <si>
    <t>Copyright © 2013 - 2024 Charles Zaiontz</t>
  </si>
  <si>
    <t>ANCOVA Light Basic Concepts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</si>
</sst>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8" xfId="0" applyBorder="1"/>
    <xf numFmtId="0" fontId="0" fillId="0" borderId="1" xfId="0" applyBorder="1"/>
    <xf numFmtId="0" fontId="1" fillId="0" borderId="9" xfId="0" applyFon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 applyAlignment="1">
      <alignment horizont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Treatment Comparisons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'ANCOVA A'!$C$2:$C$9</c:f>
              <c:numCache>
                <c:formatCode>General</c:formatCode>
                <c:ptCount val="8"/>
                <c:pt idx="0">
                  <c:v>30</c:v>
                </c:pt>
                <c:pt idx="1">
                  <c:v>55</c:v>
                </c:pt>
                <c:pt idx="2">
                  <c:v>10</c:v>
                </c:pt>
                <c:pt idx="3">
                  <c:v>40</c:v>
                </c:pt>
                <c:pt idx="4">
                  <c:v>31</c:v>
                </c:pt>
                <c:pt idx="5">
                  <c:v>62</c:v>
                </c:pt>
                <c:pt idx="6">
                  <c:v>77</c:v>
                </c:pt>
                <c:pt idx="7">
                  <c:v>58</c:v>
                </c:pt>
              </c:numCache>
            </c:numRef>
          </c:xVal>
          <c:yVal>
            <c:numRef>
              <c:f>'ANCOVA A'!$B$2:$B$9</c:f>
              <c:numCache>
                <c:formatCode>0.0</c:formatCode>
                <c:ptCount val="8"/>
                <c:pt idx="0">
                  <c:v>38.099999999999994</c:v>
                </c:pt>
                <c:pt idx="1">
                  <c:v>56.1</c:v>
                </c:pt>
                <c:pt idx="2">
                  <c:v>26.9</c:v>
                </c:pt>
                <c:pt idx="3">
                  <c:v>33.200000000000003</c:v>
                </c:pt>
                <c:pt idx="4">
                  <c:v>60.699999999999996</c:v>
                </c:pt>
                <c:pt idx="5">
                  <c:v>76.599999999999994</c:v>
                </c:pt>
                <c:pt idx="6">
                  <c:v>91.6</c:v>
                </c:pt>
                <c:pt idx="7">
                  <c:v>56.5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05-4B98-8FFD-8210243EB0BE}"/>
            </c:ext>
          </c:extLst>
        </c:ser>
        <c:ser>
          <c:idx val="1"/>
          <c:order val="1"/>
          <c:tx>
            <c:v>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'ANCOVA A'!$C$10:$C$17</c:f>
              <c:numCache>
                <c:formatCode>General</c:formatCode>
                <c:ptCount val="8"/>
                <c:pt idx="0">
                  <c:v>59</c:v>
                </c:pt>
                <c:pt idx="1">
                  <c:v>49</c:v>
                </c:pt>
                <c:pt idx="2">
                  <c:v>26</c:v>
                </c:pt>
                <c:pt idx="3">
                  <c:v>16</c:v>
                </c:pt>
                <c:pt idx="4">
                  <c:v>46</c:v>
                </c:pt>
                <c:pt idx="5">
                  <c:v>35</c:v>
                </c:pt>
                <c:pt idx="6">
                  <c:v>11</c:v>
                </c:pt>
                <c:pt idx="7">
                  <c:v>19</c:v>
                </c:pt>
              </c:numCache>
            </c:numRef>
          </c:xVal>
          <c:yVal>
            <c:numRef>
              <c:f>'ANCOVA A'!$B$10:$B$17</c:f>
              <c:numCache>
                <c:formatCode>0.0</c:formatCode>
                <c:ptCount val="8"/>
                <c:pt idx="0">
                  <c:v>141.30000000000001</c:v>
                </c:pt>
                <c:pt idx="1">
                  <c:v>119.8</c:v>
                </c:pt>
                <c:pt idx="2">
                  <c:v>90.6</c:v>
                </c:pt>
                <c:pt idx="3">
                  <c:v>66.100000000000009</c:v>
                </c:pt>
                <c:pt idx="4">
                  <c:v>126.7</c:v>
                </c:pt>
                <c:pt idx="5">
                  <c:v>105.2</c:v>
                </c:pt>
                <c:pt idx="6">
                  <c:v>55</c:v>
                </c:pt>
                <c:pt idx="7">
                  <c:v>64.599999999999994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05-4B98-8FFD-8210243EB0BE}"/>
            </c:ext>
          </c:extLst>
        </c:ser>
        <c:ser>
          <c:idx val="2"/>
          <c:order val="2"/>
          <c:tx>
            <c:v>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'ANCOVA A'!$C$18:$C$25</c:f>
              <c:numCache>
                <c:formatCode>General</c:formatCode>
                <c:ptCount val="8"/>
                <c:pt idx="0">
                  <c:v>33</c:v>
                </c:pt>
                <c:pt idx="1">
                  <c:v>41</c:v>
                </c:pt>
                <c:pt idx="2">
                  <c:v>25</c:v>
                </c:pt>
                <c:pt idx="3">
                  <c:v>11</c:v>
                </c:pt>
                <c:pt idx="4">
                  <c:v>42</c:v>
                </c:pt>
                <c:pt idx="5">
                  <c:v>72</c:v>
                </c:pt>
                <c:pt idx="6">
                  <c:v>24</c:v>
                </c:pt>
                <c:pt idx="7">
                  <c:v>25</c:v>
                </c:pt>
              </c:numCache>
            </c:numRef>
          </c:xVal>
          <c:yVal>
            <c:numRef>
              <c:f>'ANCOVA A'!$B$18:$B$25</c:f>
              <c:numCache>
                <c:formatCode>General</c:formatCode>
                <c:ptCount val="8"/>
                <c:pt idx="0" formatCode="0.0">
                  <c:v>79.599999999999994</c:v>
                </c:pt>
                <c:pt idx="1">
                  <c:v>102.2</c:v>
                </c:pt>
                <c:pt idx="2" formatCode="0.0">
                  <c:v>65.8</c:v>
                </c:pt>
                <c:pt idx="3" formatCode="0.0">
                  <c:v>46.699999999999996</c:v>
                </c:pt>
                <c:pt idx="4" formatCode="0.0">
                  <c:v>82.7</c:v>
                </c:pt>
                <c:pt idx="5" formatCode="0.0">
                  <c:v>122.5</c:v>
                </c:pt>
                <c:pt idx="6" formatCode="0.0">
                  <c:v>60.4</c:v>
                </c:pt>
                <c:pt idx="7" formatCode="0.0">
                  <c:v>51.1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05-4B98-8FFD-8210243EB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70416"/>
        <c:axId val="738671664"/>
      </c:scatterChart>
      <c:valAx>
        <c:axId val="738670416"/>
        <c:scaling>
          <c:orientation val="minMax"/>
          <c:max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Skill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671664"/>
        <c:crosses val="autoZero"/>
        <c:crossBetween val="midCat"/>
      </c:valAx>
      <c:valAx>
        <c:axId val="73867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Performance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670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123825</xdr:rowOff>
    </xdr:from>
    <xdr:to>
      <xdr:col>14</xdr:col>
      <xdr:colOff>581025</xdr:colOff>
      <xdr:row>15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20E137-4C31-45B1-8210-E99790C9D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ANOVA%202.xlsx" TargetMode="External"/><Relationship Id="rId1" Type="http://schemas.openxmlformats.org/officeDocument/2006/relationships/externalLinkPath" Target="/38f5cd2f1f925cfd/Documenti/A%20Real%20Statistics%202020/Examples/Real%20Statistics%20Examples%20ANOV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Rand Anova"/>
      <sheetName val="Mixed"/>
      <sheetName val="Rand Anova 2"/>
      <sheetName val="Nested"/>
      <sheetName val="Nested 1 "/>
      <sheetName val="Nested 1a"/>
      <sheetName val="Nested 2"/>
      <sheetName val="RCBD"/>
      <sheetName val="RCBD 1"/>
      <sheetName val="RCBD 2"/>
      <sheetName val="RCBD 3"/>
      <sheetName val="RCBD 3A"/>
      <sheetName val="RCBD 4"/>
      <sheetName val="RCBD 5"/>
      <sheetName val="RCBD 6"/>
      <sheetName val="RCBD 7"/>
      <sheetName val="RCBD 8"/>
      <sheetName val="RCBD 9"/>
      <sheetName val="RCBD 10"/>
      <sheetName val="Split 1"/>
      <sheetName val="Split 2"/>
      <sheetName val="Split 3"/>
      <sheetName val="Split 4"/>
      <sheetName val="Split 5"/>
      <sheetName val="Latin"/>
      <sheetName val="Latin 1"/>
      <sheetName val="Latin 2"/>
      <sheetName val="Latin 3"/>
      <sheetName val="Latin 4"/>
      <sheetName val="Latin 5"/>
      <sheetName val="Fact 1"/>
      <sheetName val="Fact 2"/>
      <sheetName val="Fact 3"/>
      <sheetName val="Fact 4"/>
      <sheetName val="Fact 5"/>
      <sheetName val="Fact 6"/>
      <sheetName val="Fact 7"/>
      <sheetName val="ANOVA Match 1.1"/>
      <sheetName val="ANOVA Match 1.2"/>
      <sheetName val="ANOVA Match 1.2a"/>
      <sheetName val="ANOVA Match 1.3"/>
      <sheetName val="ANOVA Match 1.3a"/>
      <sheetName val="ANOVA Match 1.4"/>
      <sheetName val="ANOVA Match 1.5"/>
      <sheetName val="ANOVA Match 1.6"/>
      <sheetName val="ANOVA Match 2.1"/>
      <sheetName val="ANOVA Match 2.1a"/>
      <sheetName val="ANOVA Match 2.2"/>
      <sheetName val="ANOVA Match 2.3"/>
      <sheetName val="ANOVA Match 2.3A"/>
      <sheetName val="ANOVA Match 2.3B"/>
      <sheetName val="ANOVA Match 2.4"/>
      <sheetName val="ANOVA Match 2.5"/>
      <sheetName val="ANOVA Match 2.5A"/>
      <sheetName val="ANOVA Match 2.5B"/>
      <sheetName val="ANOVA Match 3A"/>
      <sheetName val="ANOVA Match 3B"/>
      <sheetName val="Friedman"/>
      <sheetName val="Friedman 1"/>
      <sheetName val="Cochran 1"/>
      <sheetName val="Cochran 2"/>
      <sheetName val="ANCOVA 1"/>
      <sheetName val="ANCOVA 2"/>
      <sheetName val="ANCOVA 3"/>
      <sheetName val="ANCOVA 4"/>
      <sheetName val="ANCOVA Contrasts"/>
      <sheetName val="ANCOVA Tukey"/>
      <sheetName val="ANCOVA Std"/>
      <sheetName val="ANCOVA Std 1"/>
      <sheetName val="ANCOVA A"/>
      <sheetName val="ANCOVA B"/>
      <sheetName val="ANCOVA C"/>
      <sheetName val="ANCOVA D"/>
      <sheetName val="ANCOVA E"/>
      <sheetName val="ANCOVA F"/>
      <sheetName val="ANCOVA G"/>
      <sheetName val="ANCOVA H"/>
      <sheetName val="ICC1"/>
      <sheetName val="ICC1a"/>
      <sheetName val="ICC2"/>
      <sheetName val="ICC3"/>
      <sheetName val="ICC4"/>
      <sheetName val="ICC5"/>
      <sheetName val="Stud. Q Table"/>
      <sheetName val="Stud. Q Tabl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2">
          <cell r="B2">
            <v>38.099999999999994</v>
          </cell>
          <cell r="C2">
            <v>30</v>
          </cell>
        </row>
        <row r="3">
          <cell r="B3">
            <v>56.1</v>
          </cell>
          <cell r="C3">
            <v>55</v>
          </cell>
        </row>
        <row r="4">
          <cell r="B4">
            <v>26.9</v>
          </cell>
          <cell r="C4">
            <v>10</v>
          </cell>
        </row>
        <row r="5">
          <cell r="B5">
            <v>33.200000000000003</v>
          </cell>
          <cell r="C5">
            <v>40</v>
          </cell>
        </row>
        <row r="6">
          <cell r="B6">
            <v>60.699999999999996</v>
          </cell>
          <cell r="C6">
            <v>31</v>
          </cell>
        </row>
        <row r="7">
          <cell r="B7">
            <v>76.599999999999994</v>
          </cell>
          <cell r="C7">
            <v>62</v>
          </cell>
        </row>
        <row r="8">
          <cell r="B8">
            <v>91.6</v>
          </cell>
          <cell r="C8">
            <v>77</v>
          </cell>
        </row>
        <row r="9">
          <cell r="B9">
            <v>56.5</v>
          </cell>
          <cell r="C9">
            <v>58</v>
          </cell>
        </row>
        <row r="10">
          <cell r="B10">
            <v>141.30000000000001</v>
          </cell>
          <cell r="C10">
            <v>59</v>
          </cell>
        </row>
        <row r="11">
          <cell r="B11">
            <v>119.8</v>
          </cell>
          <cell r="C11">
            <v>49</v>
          </cell>
        </row>
        <row r="12">
          <cell r="B12">
            <v>90.6</v>
          </cell>
          <cell r="C12">
            <v>26</v>
          </cell>
        </row>
        <row r="13">
          <cell r="B13">
            <v>66.100000000000009</v>
          </cell>
          <cell r="C13">
            <v>16</v>
          </cell>
        </row>
        <row r="14">
          <cell r="B14">
            <v>126.7</v>
          </cell>
          <cell r="C14">
            <v>46</v>
          </cell>
        </row>
        <row r="15">
          <cell r="B15">
            <v>105.2</v>
          </cell>
          <cell r="C15">
            <v>35</v>
          </cell>
        </row>
        <row r="16">
          <cell r="B16">
            <v>55</v>
          </cell>
          <cell r="C16">
            <v>11</v>
          </cell>
        </row>
        <row r="17">
          <cell r="B17">
            <v>64.599999999999994</v>
          </cell>
          <cell r="C17">
            <v>19</v>
          </cell>
        </row>
        <row r="18">
          <cell r="B18">
            <v>79.599999999999994</v>
          </cell>
          <cell r="C18">
            <v>33</v>
          </cell>
        </row>
        <row r="19">
          <cell r="B19">
            <v>102.2</v>
          </cell>
          <cell r="C19">
            <v>41</v>
          </cell>
        </row>
        <row r="20">
          <cell r="B20">
            <v>65.8</v>
          </cell>
          <cell r="C20">
            <v>25</v>
          </cell>
        </row>
        <row r="21">
          <cell r="B21">
            <v>46.699999999999996</v>
          </cell>
          <cell r="C21">
            <v>11</v>
          </cell>
        </row>
        <row r="22">
          <cell r="B22">
            <v>82.7</v>
          </cell>
          <cell r="C22">
            <v>42</v>
          </cell>
        </row>
        <row r="23">
          <cell r="B23">
            <v>122.5</v>
          </cell>
          <cell r="C23">
            <v>72</v>
          </cell>
        </row>
        <row r="24">
          <cell r="B24">
            <v>60.4</v>
          </cell>
          <cell r="C24">
            <v>24</v>
          </cell>
        </row>
        <row r="25">
          <cell r="B25">
            <v>51.1</v>
          </cell>
          <cell r="C25">
            <v>25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ncova1Ligh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3AD5-05D4-4319-86DA-6B5E3AB87712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46</v>
      </c>
    </row>
    <row r="2" spans="1:2" x14ac:dyDescent="0.35">
      <c r="A2" t="s">
        <v>49</v>
      </c>
    </row>
    <row r="4" spans="1:2" x14ac:dyDescent="0.35">
      <c r="A4" t="s">
        <v>47</v>
      </c>
      <c r="B4" s="25">
        <v>45633</v>
      </c>
    </row>
    <row r="6" spans="1:2" x14ac:dyDescent="0.35">
      <c r="A6" s="20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EAB0-BF65-44A3-88D7-E885418753A3}">
  <sheetPr codeName="Sheet16"/>
  <dimension ref="A1:G25"/>
  <sheetViews>
    <sheetView workbookViewId="0"/>
  </sheetViews>
  <sheetFormatPr defaultRowHeight="14.5" x14ac:dyDescent="0.35"/>
  <cols>
    <col min="1" max="1" width="7.54296875" style="3" customWidth="1"/>
    <col min="2" max="2" width="7.54296875" style="4" customWidth="1"/>
    <col min="3" max="3" width="7.54296875" style="3" customWidth="1"/>
    <col min="4" max="4" width="6.08984375" customWidth="1"/>
    <col min="5" max="5" width="6.453125" customWidth="1"/>
  </cols>
  <sheetData>
    <row r="1" spans="1:7" x14ac:dyDescent="0.35">
      <c r="A1" s="1" t="s">
        <v>0</v>
      </c>
      <c r="B1" s="2" t="s">
        <v>1</v>
      </c>
      <c r="C1" s="1" t="s">
        <v>2</v>
      </c>
      <c r="E1" t="s">
        <v>3</v>
      </c>
    </row>
    <row r="2" spans="1:7" x14ac:dyDescent="0.35">
      <c r="A2" s="3" t="s">
        <v>4</v>
      </c>
      <c r="B2" s="4">
        <v>38.099999999999994</v>
      </c>
      <c r="C2" s="3">
        <v>30</v>
      </c>
    </row>
    <row r="3" spans="1:7" x14ac:dyDescent="0.35">
      <c r="A3" s="3" t="s">
        <v>4</v>
      </c>
      <c r="B3" s="4">
        <v>56.1</v>
      </c>
      <c r="C3" s="3">
        <v>55</v>
      </c>
      <c r="F3" s="3" t="s">
        <v>2</v>
      </c>
      <c r="G3" s="3" t="s">
        <v>1</v>
      </c>
    </row>
    <row r="4" spans="1:7" x14ac:dyDescent="0.35">
      <c r="A4" s="3" t="s">
        <v>4</v>
      </c>
      <c r="B4" s="4">
        <v>26.9</v>
      </c>
      <c r="C4" s="3">
        <v>10</v>
      </c>
      <c r="E4" t="s">
        <v>4</v>
      </c>
      <c r="F4" s="5">
        <f>AVERAGE(C2:C9)</f>
        <v>45.375</v>
      </c>
      <c r="G4" s="6">
        <f>AVERAGE(B2:B9)</f>
        <v>54.962500000000006</v>
      </c>
    </row>
    <row r="5" spans="1:7" x14ac:dyDescent="0.35">
      <c r="A5" s="3" t="s">
        <v>4</v>
      </c>
      <c r="B5" s="4">
        <v>33.200000000000003</v>
      </c>
      <c r="C5" s="3">
        <v>40</v>
      </c>
      <c r="E5" t="s">
        <v>5</v>
      </c>
      <c r="F5" s="7">
        <f>AVERAGE(C10:C17)</f>
        <v>32.625</v>
      </c>
      <c r="G5" s="8">
        <f>AVERAGE(B10:B17)</f>
        <v>96.162500000000023</v>
      </c>
    </row>
    <row r="6" spans="1:7" x14ac:dyDescent="0.35">
      <c r="A6" s="3" t="s">
        <v>4</v>
      </c>
      <c r="B6" s="4">
        <v>60.699999999999996</v>
      </c>
      <c r="C6" s="3">
        <v>31</v>
      </c>
      <c r="E6" t="s">
        <v>6</v>
      </c>
      <c r="F6" s="9">
        <f>AVERAGE(C18:C25)</f>
        <v>34.125</v>
      </c>
      <c r="G6" s="10">
        <f>AVERAGE(B18:B25)</f>
        <v>76.375</v>
      </c>
    </row>
    <row r="7" spans="1:7" x14ac:dyDescent="0.35">
      <c r="A7" s="3" t="s">
        <v>4</v>
      </c>
      <c r="B7" s="4">
        <v>76.599999999999994</v>
      </c>
      <c r="C7" s="3">
        <v>62</v>
      </c>
      <c r="E7" t="s">
        <v>7</v>
      </c>
      <c r="F7">
        <f>AVERAGE(C2:C25)</f>
        <v>37.375</v>
      </c>
      <c r="G7">
        <f>AVERAGE(B2:B25)</f>
        <v>75.833333333333329</v>
      </c>
    </row>
    <row r="8" spans="1:7" x14ac:dyDescent="0.35">
      <c r="A8" s="3" t="s">
        <v>4</v>
      </c>
      <c r="B8" s="4">
        <v>91.6</v>
      </c>
      <c r="C8" s="3">
        <v>77</v>
      </c>
    </row>
    <row r="9" spans="1:7" x14ac:dyDescent="0.35">
      <c r="A9" s="1" t="s">
        <v>4</v>
      </c>
      <c r="B9" s="2">
        <v>56.5</v>
      </c>
      <c r="C9" s="1">
        <v>58</v>
      </c>
    </row>
    <row r="10" spans="1:7" x14ac:dyDescent="0.35">
      <c r="A10" s="3" t="s">
        <v>5</v>
      </c>
      <c r="B10" s="4">
        <v>141.30000000000001</v>
      </c>
      <c r="C10" s="3">
        <v>59</v>
      </c>
    </row>
    <row r="11" spans="1:7" x14ac:dyDescent="0.35">
      <c r="A11" s="3" t="s">
        <v>5</v>
      </c>
      <c r="B11" s="4">
        <v>119.8</v>
      </c>
      <c r="C11" s="3">
        <v>49</v>
      </c>
    </row>
    <row r="12" spans="1:7" x14ac:dyDescent="0.35">
      <c r="A12" s="3" t="s">
        <v>5</v>
      </c>
      <c r="B12" s="4">
        <v>90.6</v>
      </c>
      <c r="C12" s="3">
        <v>26</v>
      </c>
    </row>
    <row r="13" spans="1:7" x14ac:dyDescent="0.35">
      <c r="A13" s="3" t="s">
        <v>5</v>
      </c>
      <c r="B13" s="4">
        <v>66.100000000000009</v>
      </c>
      <c r="C13" s="3">
        <v>16</v>
      </c>
    </row>
    <row r="14" spans="1:7" x14ac:dyDescent="0.35">
      <c r="A14" s="3" t="s">
        <v>5</v>
      </c>
      <c r="B14" s="4">
        <v>126.7</v>
      </c>
      <c r="C14" s="3">
        <v>46</v>
      </c>
    </row>
    <row r="15" spans="1:7" x14ac:dyDescent="0.35">
      <c r="A15" s="3" t="s">
        <v>5</v>
      </c>
      <c r="B15" s="4">
        <v>105.2</v>
      </c>
      <c r="C15" s="3">
        <v>35</v>
      </c>
    </row>
    <row r="16" spans="1:7" x14ac:dyDescent="0.35">
      <c r="A16" s="3" t="s">
        <v>5</v>
      </c>
      <c r="B16" s="4">
        <v>55</v>
      </c>
      <c r="C16" s="3">
        <v>11</v>
      </c>
    </row>
    <row r="17" spans="1:3" x14ac:dyDescent="0.35">
      <c r="A17" s="1" t="s">
        <v>5</v>
      </c>
      <c r="B17" s="2">
        <v>64.599999999999994</v>
      </c>
      <c r="C17" s="1">
        <v>19</v>
      </c>
    </row>
    <row r="18" spans="1:3" x14ac:dyDescent="0.35">
      <c r="A18" s="3" t="s">
        <v>6</v>
      </c>
      <c r="B18" s="4">
        <v>79.599999999999994</v>
      </c>
      <c r="C18" s="3">
        <v>33</v>
      </c>
    </row>
    <row r="19" spans="1:3" x14ac:dyDescent="0.35">
      <c r="A19" s="3" t="s">
        <v>6</v>
      </c>
      <c r="B19" s="3">
        <v>102.2</v>
      </c>
      <c r="C19" s="3">
        <v>41</v>
      </c>
    </row>
    <row r="20" spans="1:3" x14ac:dyDescent="0.35">
      <c r="A20" s="3" t="s">
        <v>6</v>
      </c>
      <c r="B20" s="4">
        <v>65.8</v>
      </c>
      <c r="C20" s="3">
        <v>25</v>
      </c>
    </row>
    <row r="21" spans="1:3" x14ac:dyDescent="0.35">
      <c r="A21" s="3" t="s">
        <v>6</v>
      </c>
      <c r="B21" s="4">
        <v>46.699999999999996</v>
      </c>
      <c r="C21" s="3">
        <v>11</v>
      </c>
    </row>
    <row r="22" spans="1:3" x14ac:dyDescent="0.35">
      <c r="A22" s="3" t="s">
        <v>6</v>
      </c>
      <c r="B22" s="4">
        <v>82.7</v>
      </c>
      <c r="C22" s="3">
        <v>42</v>
      </c>
    </row>
    <row r="23" spans="1:3" x14ac:dyDescent="0.35">
      <c r="A23" s="3" t="s">
        <v>6</v>
      </c>
      <c r="B23" s="4">
        <v>122.5</v>
      </c>
      <c r="C23" s="3">
        <v>72</v>
      </c>
    </row>
    <row r="24" spans="1:3" x14ac:dyDescent="0.35">
      <c r="A24" s="3" t="s">
        <v>6</v>
      </c>
      <c r="B24" s="4">
        <v>60.4</v>
      </c>
      <c r="C24" s="3">
        <v>24</v>
      </c>
    </row>
    <row r="25" spans="1:3" x14ac:dyDescent="0.35">
      <c r="A25" s="1" t="s">
        <v>6</v>
      </c>
      <c r="B25" s="2">
        <v>51.1</v>
      </c>
      <c r="C25" s="1">
        <v>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E152-C94B-4F62-A3A0-831CA54BDAF7}">
  <sheetPr codeName="Sheet19"/>
  <dimension ref="A1:Q25"/>
  <sheetViews>
    <sheetView workbookViewId="0"/>
  </sheetViews>
  <sheetFormatPr defaultRowHeight="14.5" x14ac:dyDescent="0.35"/>
  <cols>
    <col min="1" max="1" width="8.7265625" style="3"/>
    <col min="2" max="2" width="8.7265625" style="4"/>
    <col min="3" max="3" width="8.7265625" style="3"/>
    <col min="10" max="10" width="17" customWidth="1"/>
  </cols>
  <sheetData>
    <row r="1" spans="1:17" x14ac:dyDescent="0.35">
      <c r="A1" s="1" t="s">
        <v>0</v>
      </c>
      <c r="B1" s="2" t="s">
        <v>1</v>
      </c>
      <c r="C1" s="1" t="s">
        <v>2</v>
      </c>
      <c r="E1" s="11" t="s">
        <v>4</v>
      </c>
      <c r="F1" s="11" t="s">
        <v>5</v>
      </c>
      <c r="G1" s="11" t="s">
        <v>2</v>
      </c>
      <c r="H1" s="11" t="s">
        <v>1</v>
      </c>
      <c r="J1" t="s">
        <v>8</v>
      </c>
    </row>
    <row r="2" spans="1:17" x14ac:dyDescent="0.35">
      <c r="A2" s="3" t="s">
        <v>4</v>
      </c>
      <c r="B2" s="4">
        <v>38.099999999999994</v>
      </c>
      <c r="C2" s="3">
        <v>30</v>
      </c>
      <c r="E2">
        <v>1</v>
      </c>
      <c r="F2">
        <v>0</v>
      </c>
      <c r="G2" s="12">
        <f>C2</f>
        <v>30</v>
      </c>
      <c r="H2" s="13">
        <f>B2</f>
        <v>38.099999999999994</v>
      </c>
    </row>
    <row r="3" spans="1:17" ht="15" thickBot="1" x14ac:dyDescent="0.4">
      <c r="A3" s="3" t="s">
        <v>4</v>
      </c>
      <c r="B3" s="4">
        <v>56.1</v>
      </c>
      <c r="C3" s="3">
        <v>55</v>
      </c>
      <c r="E3">
        <v>1</v>
      </c>
      <c r="F3">
        <v>0</v>
      </c>
      <c r="G3" s="12">
        <f t="shared" ref="G3:G25" si="0">C3</f>
        <v>55</v>
      </c>
      <c r="H3" s="13">
        <f t="shared" ref="H3:H25" si="1">B3</f>
        <v>56.1</v>
      </c>
      <c r="J3" s="14" t="s">
        <v>9</v>
      </c>
      <c r="K3" s="14"/>
      <c r="M3" s="14"/>
      <c r="N3" s="14"/>
    </row>
    <row r="4" spans="1:17" ht="15" thickTop="1" x14ac:dyDescent="0.35">
      <c r="A4" s="3" t="s">
        <v>4</v>
      </c>
      <c r="B4" s="4">
        <v>26.9</v>
      </c>
      <c r="C4" s="3">
        <v>10</v>
      </c>
      <c r="E4">
        <v>1</v>
      </c>
      <c r="F4">
        <v>0</v>
      </c>
      <c r="G4" s="12">
        <f t="shared" si="0"/>
        <v>10</v>
      </c>
      <c r="H4" s="13">
        <f t="shared" si="1"/>
        <v>26.9</v>
      </c>
      <c r="J4" t="s">
        <v>10</v>
      </c>
      <c r="K4" t="e">
        <f ca="1">SQRT(K5)</f>
        <v>#NAME?</v>
      </c>
      <c r="M4" t="s">
        <v>11</v>
      </c>
      <c r="N4" t="e">
        <f ca="1">K8*LN(L13/K8)+2*(K12+1)</f>
        <v>#NAME?</v>
      </c>
    </row>
    <row r="5" spans="1:17" x14ac:dyDescent="0.35">
      <c r="A5" s="3" t="s">
        <v>4</v>
      </c>
      <c r="B5" s="4">
        <v>33.200000000000003</v>
      </c>
      <c r="C5" s="3">
        <v>40</v>
      </c>
      <c r="E5">
        <v>1</v>
      </c>
      <c r="F5">
        <v>0</v>
      </c>
      <c r="G5" s="12">
        <f t="shared" si="0"/>
        <v>40</v>
      </c>
      <c r="H5" s="13">
        <f t="shared" si="1"/>
        <v>33.200000000000003</v>
      </c>
      <c r="J5" t="s">
        <v>12</v>
      </c>
      <c r="K5" t="e">
        <f ca="1">L12/L14</f>
        <v>#NAME?</v>
      </c>
      <c r="M5" t="s">
        <v>13</v>
      </c>
      <c r="N5" t="e">
        <f ca="1">N4+2*(K12+2)*(K12+3)/(K8-K12-3)</f>
        <v>#NAME?</v>
      </c>
    </row>
    <row r="6" spans="1:17" x14ac:dyDescent="0.35">
      <c r="A6" s="3" t="s">
        <v>4</v>
      </c>
      <c r="B6" s="4">
        <v>60.699999999999996</v>
      </c>
      <c r="C6" s="3">
        <v>31</v>
      </c>
      <c r="E6">
        <v>1</v>
      </c>
      <c r="F6">
        <v>0</v>
      </c>
      <c r="G6" s="12">
        <f t="shared" si="0"/>
        <v>31</v>
      </c>
      <c r="H6" s="13">
        <f t="shared" si="1"/>
        <v>60.699999999999996</v>
      </c>
      <c r="J6" t="s">
        <v>14</v>
      </c>
      <c r="K6" t="e">
        <f ca="1">1-(1-K5)*(K8-1)/(K8-K12-1)</f>
        <v>#NAME?</v>
      </c>
      <c r="M6" s="15" t="s">
        <v>15</v>
      </c>
      <c r="N6" s="15" t="e">
        <f ca="1">K8*LN(L13/K8)+(K12+1)*LN(K8)</f>
        <v>#NAME?</v>
      </c>
    </row>
    <row r="7" spans="1:17" x14ac:dyDescent="0.35">
      <c r="A7" s="3" t="s">
        <v>4</v>
      </c>
      <c r="B7" s="4">
        <v>76.599999999999994</v>
      </c>
      <c r="C7" s="3">
        <v>62</v>
      </c>
      <c r="E7">
        <v>1</v>
      </c>
      <c r="F7">
        <v>0</v>
      </c>
      <c r="G7" s="12">
        <f t="shared" si="0"/>
        <v>62</v>
      </c>
      <c r="H7" s="13">
        <f t="shared" si="1"/>
        <v>76.599999999999994</v>
      </c>
      <c r="J7" t="s">
        <v>16</v>
      </c>
      <c r="K7" t="e">
        <f ca="1">SQRT(M13)</f>
        <v>#NAME?</v>
      </c>
    </row>
    <row r="8" spans="1:17" x14ac:dyDescent="0.35">
      <c r="A8" s="3" t="s">
        <v>4</v>
      </c>
      <c r="B8" s="4">
        <v>91.6</v>
      </c>
      <c r="C8" s="3">
        <v>77</v>
      </c>
      <c r="E8">
        <v>1</v>
      </c>
      <c r="F8">
        <v>0</v>
      </c>
      <c r="G8" s="12">
        <f t="shared" si="0"/>
        <v>77</v>
      </c>
      <c r="H8" s="13">
        <f t="shared" si="1"/>
        <v>91.6</v>
      </c>
      <c r="J8" s="15" t="s">
        <v>17</v>
      </c>
      <c r="K8" s="15">
        <f>COUNT(H2:H25)</f>
        <v>24</v>
      </c>
    </row>
    <row r="9" spans="1:17" x14ac:dyDescent="0.35">
      <c r="A9" s="1" t="s">
        <v>4</v>
      </c>
      <c r="B9" s="2">
        <v>56.5</v>
      </c>
      <c r="C9" s="1">
        <v>58</v>
      </c>
      <c r="E9">
        <v>1</v>
      </c>
      <c r="F9">
        <v>0</v>
      </c>
      <c r="G9" s="12">
        <f t="shared" si="0"/>
        <v>58</v>
      </c>
      <c r="H9" s="13">
        <f t="shared" si="1"/>
        <v>56.5</v>
      </c>
    </row>
    <row r="10" spans="1:17" ht="15" thickBot="1" x14ac:dyDescent="0.4">
      <c r="A10" s="3" t="s">
        <v>5</v>
      </c>
      <c r="B10" s="4">
        <v>141.30000000000001</v>
      </c>
      <c r="C10" s="3">
        <v>59</v>
      </c>
      <c r="E10">
        <v>0</v>
      </c>
      <c r="F10">
        <v>1</v>
      </c>
      <c r="G10" s="12">
        <f t="shared" si="0"/>
        <v>59</v>
      </c>
      <c r="H10" s="13">
        <f t="shared" si="1"/>
        <v>141.30000000000001</v>
      </c>
      <c r="J10" t="s">
        <v>18</v>
      </c>
      <c r="N10" s="3" t="s">
        <v>19</v>
      </c>
      <c r="O10" s="3">
        <v>0.05</v>
      </c>
    </row>
    <row r="11" spans="1:17" ht="15" thickTop="1" x14ac:dyDescent="0.35">
      <c r="A11" s="3" t="s">
        <v>5</v>
      </c>
      <c r="B11" s="4">
        <v>119.8</v>
      </c>
      <c r="C11" s="3">
        <v>49</v>
      </c>
      <c r="E11">
        <v>0</v>
      </c>
      <c r="F11">
        <v>1</v>
      </c>
      <c r="G11" s="12">
        <f t="shared" si="0"/>
        <v>49</v>
      </c>
      <c r="H11" s="13">
        <f t="shared" si="1"/>
        <v>119.8</v>
      </c>
      <c r="J11" s="16"/>
      <c r="K11" s="16" t="s">
        <v>20</v>
      </c>
      <c r="L11" s="16" t="s">
        <v>21</v>
      </c>
      <c r="M11" s="16" t="s">
        <v>22</v>
      </c>
      <c r="N11" s="16" t="s">
        <v>23</v>
      </c>
      <c r="O11" s="16" t="s">
        <v>24</v>
      </c>
      <c r="P11" s="16" t="s">
        <v>25</v>
      </c>
    </row>
    <row r="12" spans="1:17" x14ac:dyDescent="0.35">
      <c r="A12" s="3" t="s">
        <v>5</v>
      </c>
      <c r="B12" s="4">
        <v>90.6</v>
      </c>
      <c r="C12" s="3">
        <v>26</v>
      </c>
      <c r="E12">
        <v>0</v>
      </c>
      <c r="F12">
        <v>1</v>
      </c>
      <c r="G12" s="12">
        <f t="shared" si="0"/>
        <v>26</v>
      </c>
      <c r="H12" s="13">
        <f t="shared" si="1"/>
        <v>90.6</v>
      </c>
      <c r="J12" t="s">
        <v>26</v>
      </c>
      <c r="K12">
        <f>COUNT(E2:G2)</f>
        <v>3</v>
      </c>
      <c r="L12" t="e">
        <f ca="1">DEVSQ(MMULT(DEsign(E2:G25),K17:K20))</f>
        <v>#NAME?</v>
      </c>
      <c r="M12" t="e">
        <f ca="1">L12/K12</f>
        <v>#NAME?</v>
      </c>
      <c r="N12" t="e">
        <f ca="1">M12/M13</f>
        <v>#NAME?</v>
      </c>
      <c r="O12" t="e">
        <f ca="1">_xlfn.F.DIST.RT(N12,K12,K13)</f>
        <v>#NAME?</v>
      </c>
      <c r="P12" s="3" t="e">
        <f ca="1">IF(O12&lt;O10,"yes","no")</f>
        <v>#NAME?</v>
      </c>
    </row>
    <row r="13" spans="1:17" x14ac:dyDescent="0.35">
      <c r="A13" s="3" t="s">
        <v>5</v>
      </c>
      <c r="B13" s="4">
        <v>66.100000000000009</v>
      </c>
      <c r="C13" s="3">
        <v>16</v>
      </c>
      <c r="E13">
        <v>0</v>
      </c>
      <c r="F13">
        <v>1</v>
      </c>
      <c r="G13" s="12">
        <f t="shared" si="0"/>
        <v>16</v>
      </c>
      <c r="H13" s="13">
        <f t="shared" si="1"/>
        <v>66.100000000000009</v>
      </c>
      <c r="J13" t="s">
        <v>27</v>
      </c>
      <c r="K13">
        <f>K14-K12</f>
        <v>20</v>
      </c>
      <c r="L13" t="e">
        <f ca="1">L14-L12</f>
        <v>#NAME?</v>
      </c>
      <c r="M13" t="e">
        <f ca="1">L13/K13</f>
        <v>#NAME?</v>
      </c>
    </row>
    <row r="14" spans="1:17" x14ac:dyDescent="0.35">
      <c r="A14" s="3" t="s">
        <v>5</v>
      </c>
      <c r="B14" s="4">
        <v>126.7</v>
      </c>
      <c r="C14" s="3">
        <v>46</v>
      </c>
      <c r="E14">
        <v>0</v>
      </c>
      <c r="F14">
        <v>1</v>
      </c>
      <c r="G14" s="12">
        <f t="shared" si="0"/>
        <v>46</v>
      </c>
      <c r="H14" s="13">
        <f t="shared" si="1"/>
        <v>126.7</v>
      </c>
      <c r="J14" s="15" t="s">
        <v>7</v>
      </c>
      <c r="K14" s="15">
        <f>K8-1</f>
        <v>23</v>
      </c>
      <c r="L14" s="15">
        <f>DEVSQ(H2:H25)</f>
        <v>22152.693333333329</v>
      </c>
      <c r="M14" s="15"/>
      <c r="N14" s="15"/>
      <c r="O14" s="15"/>
      <c r="P14" s="15"/>
    </row>
    <row r="15" spans="1:17" ht="15" thickBot="1" x14ac:dyDescent="0.4">
      <c r="A15" s="3" t="s">
        <v>5</v>
      </c>
      <c r="B15" s="4">
        <v>105.2</v>
      </c>
      <c r="C15" s="3">
        <v>35</v>
      </c>
      <c r="E15">
        <v>0</v>
      </c>
      <c r="F15">
        <v>1</v>
      </c>
      <c r="G15" s="12">
        <f t="shared" si="0"/>
        <v>35</v>
      </c>
      <c r="H15" s="13">
        <f t="shared" si="1"/>
        <v>105.2</v>
      </c>
    </row>
    <row r="16" spans="1:17" ht="15" thickTop="1" x14ac:dyDescent="0.35">
      <c r="A16" s="3" t="s">
        <v>5</v>
      </c>
      <c r="B16" s="4">
        <v>55</v>
      </c>
      <c r="C16" s="3">
        <v>11</v>
      </c>
      <c r="E16">
        <v>0</v>
      </c>
      <c r="F16">
        <v>1</v>
      </c>
      <c r="G16" s="12">
        <f t="shared" si="0"/>
        <v>11</v>
      </c>
      <c r="H16" s="13">
        <f t="shared" si="1"/>
        <v>55</v>
      </c>
      <c r="J16" s="16"/>
      <c r="K16" s="16" t="s">
        <v>28</v>
      </c>
      <c r="L16" s="16" t="s">
        <v>29</v>
      </c>
      <c r="M16" s="16" t="s">
        <v>30</v>
      </c>
      <c r="N16" s="16" t="s">
        <v>24</v>
      </c>
      <c r="O16" s="16" t="s">
        <v>31</v>
      </c>
      <c r="P16" s="16" t="s">
        <v>32</v>
      </c>
      <c r="Q16" s="16" t="s">
        <v>33</v>
      </c>
    </row>
    <row r="17" spans="1:17" x14ac:dyDescent="0.35">
      <c r="A17" s="1" t="s">
        <v>5</v>
      </c>
      <c r="B17" s="2">
        <v>64.599999999999994</v>
      </c>
      <c r="C17" s="1">
        <v>19</v>
      </c>
      <c r="E17">
        <v>0</v>
      </c>
      <c r="F17">
        <v>1</v>
      </c>
      <c r="G17" s="12">
        <f t="shared" si="0"/>
        <v>19</v>
      </c>
      <c r="H17" s="13">
        <f t="shared" si="1"/>
        <v>64.599999999999994</v>
      </c>
      <c r="J17" t="s">
        <v>34</v>
      </c>
      <c r="K17" t="e">
        <f t="array" aca="1" ref="K17:L20" ca="1">RegCoeff(E2:G25,H2:H25)</f>
        <v>#NAME?</v>
      </c>
      <c r="L17" t="e">
        <f ca="1"/>
        <v>#NAME?</v>
      </c>
      <c r="M17" t="e">
        <f ca="1">K17/L17</f>
        <v>#NAME?</v>
      </c>
      <c r="N17" t="e">
        <f ca="1">_xlfn.T.DIST.2T(ABS(M17),$K$13)</f>
        <v>#NAME?</v>
      </c>
      <c r="O17" t="e">
        <f ca="1">K17-_xlfn.T.INV.2T(O$10,$K$13)*L17</f>
        <v>#NAME?</v>
      </c>
      <c r="P17" t="e">
        <f ca="1">K17+_xlfn.T.INV.2T(O$10,$K$13)*L17</f>
        <v>#NAME?</v>
      </c>
    </row>
    <row r="18" spans="1:17" x14ac:dyDescent="0.35">
      <c r="A18" s="3" t="s">
        <v>6</v>
      </c>
      <c r="B18" s="4">
        <v>79.599999999999994</v>
      </c>
      <c r="C18" s="3">
        <v>33</v>
      </c>
      <c r="E18">
        <v>0</v>
      </c>
      <c r="F18">
        <v>0</v>
      </c>
      <c r="G18" s="12">
        <f t="shared" si="0"/>
        <v>33</v>
      </c>
      <c r="H18" s="13">
        <f t="shared" si="1"/>
        <v>79.599999999999994</v>
      </c>
      <c r="J18" t="str">
        <f t="array" ref="J18:J20">TRANSPOSE(E1:G1)</f>
        <v>A</v>
      </c>
      <c r="K18" t="e">
        <f ca="1"/>
        <v>#NAME?</v>
      </c>
      <c r="L18" t="e">
        <f ca="1"/>
        <v>#NAME?</v>
      </c>
      <c r="M18" t="e">
        <f t="shared" ref="M18:M20" ca="1" si="2">K18/L18</f>
        <v>#NAME?</v>
      </c>
      <c r="N18" t="e">
        <f t="shared" ref="N18:N20" ca="1" si="3">_xlfn.T.DIST.2T(ABS(M18),$K$13)</f>
        <v>#NAME?</v>
      </c>
      <c r="O18" t="e">
        <f t="shared" ref="O18:O20" ca="1" si="4">K18-_xlfn.T.INV.2T(O$10,$K$13)*L18</f>
        <v>#NAME?</v>
      </c>
      <c r="P18" t="e">
        <f t="shared" ref="P18:P20" ca="1" si="5">K18+_xlfn.T.INV.2T(O$10,$K$13)*L18</f>
        <v>#NAME?</v>
      </c>
      <c r="Q18" t="e">
        <f ca="1">VIF(E2:G25,1)</f>
        <v>#NAME?</v>
      </c>
    </row>
    <row r="19" spans="1:17" x14ac:dyDescent="0.35">
      <c r="A19" s="3" t="s">
        <v>6</v>
      </c>
      <c r="B19" s="3">
        <v>102.2</v>
      </c>
      <c r="C19" s="3">
        <v>41</v>
      </c>
      <c r="E19">
        <v>0</v>
      </c>
      <c r="F19">
        <v>0</v>
      </c>
      <c r="G19" s="12">
        <f t="shared" si="0"/>
        <v>41</v>
      </c>
      <c r="H19" s="13">
        <f t="shared" si="1"/>
        <v>102.2</v>
      </c>
      <c r="J19" t="str">
        <v>B</v>
      </c>
      <c r="K19" t="e">
        <f ca="1"/>
        <v>#NAME?</v>
      </c>
      <c r="L19" t="e">
        <f ca="1"/>
        <v>#NAME?</v>
      </c>
      <c r="M19" t="e">
        <f t="shared" ca="1" si="2"/>
        <v>#NAME?</v>
      </c>
      <c r="N19" t="e">
        <f t="shared" ca="1" si="3"/>
        <v>#NAME?</v>
      </c>
      <c r="O19" t="e">
        <f t="shared" ca="1" si="4"/>
        <v>#NAME?</v>
      </c>
      <c r="P19" t="e">
        <f t="shared" ca="1" si="5"/>
        <v>#NAME?</v>
      </c>
      <c r="Q19" t="e">
        <f ca="1">VIF(E2:G25,2)</f>
        <v>#NAME?</v>
      </c>
    </row>
    <row r="20" spans="1:17" x14ac:dyDescent="0.35">
      <c r="A20" s="3" t="s">
        <v>6</v>
      </c>
      <c r="B20" s="4">
        <v>65.8</v>
      </c>
      <c r="C20" s="3">
        <v>25</v>
      </c>
      <c r="E20">
        <v>0</v>
      </c>
      <c r="F20">
        <v>0</v>
      </c>
      <c r="G20" s="12">
        <f t="shared" si="0"/>
        <v>25</v>
      </c>
      <c r="H20" s="13">
        <f t="shared" si="1"/>
        <v>65.8</v>
      </c>
      <c r="J20" s="15" t="str">
        <v>S</v>
      </c>
      <c r="K20" s="15" t="e">
        <f ca="1"/>
        <v>#NAME?</v>
      </c>
      <c r="L20" s="15" t="e">
        <f ca="1"/>
        <v>#NAME?</v>
      </c>
      <c r="M20" s="15" t="e">
        <f t="shared" ca="1" si="2"/>
        <v>#NAME?</v>
      </c>
      <c r="N20" s="15" t="e">
        <f t="shared" ca="1" si="3"/>
        <v>#NAME?</v>
      </c>
      <c r="O20" s="15" t="e">
        <f t="shared" ca="1" si="4"/>
        <v>#NAME?</v>
      </c>
      <c r="P20" s="15" t="e">
        <f t="shared" ca="1" si="5"/>
        <v>#NAME?</v>
      </c>
      <c r="Q20" s="15" t="e">
        <f ca="1">VIF(E2:G25,3)</f>
        <v>#NAME?</v>
      </c>
    </row>
    <row r="21" spans="1:17" x14ac:dyDescent="0.35">
      <c r="A21" s="3" t="s">
        <v>6</v>
      </c>
      <c r="B21" s="4">
        <v>46.699999999999996</v>
      </c>
      <c r="C21" s="3">
        <v>11</v>
      </c>
      <c r="E21">
        <v>0</v>
      </c>
      <c r="F21">
        <v>0</v>
      </c>
      <c r="G21" s="12">
        <f t="shared" si="0"/>
        <v>11</v>
      </c>
      <c r="H21" s="13">
        <f t="shared" si="1"/>
        <v>46.699999999999996</v>
      </c>
    </row>
    <row r="22" spans="1:17" x14ac:dyDescent="0.35">
      <c r="A22" s="3" t="s">
        <v>6</v>
      </c>
      <c r="B22" s="4">
        <v>82.7</v>
      </c>
      <c r="C22" s="3">
        <v>42</v>
      </c>
      <c r="E22">
        <v>0</v>
      </c>
      <c r="F22">
        <v>0</v>
      </c>
      <c r="G22" s="12">
        <f t="shared" si="0"/>
        <v>42</v>
      </c>
      <c r="H22" s="13">
        <f t="shared" si="1"/>
        <v>82.7</v>
      </c>
    </row>
    <row r="23" spans="1:17" x14ac:dyDescent="0.35">
      <c r="A23" s="3" t="s">
        <v>6</v>
      </c>
      <c r="B23" s="4">
        <v>122.5</v>
      </c>
      <c r="C23" s="3">
        <v>72</v>
      </c>
      <c r="E23">
        <v>0</v>
      </c>
      <c r="F23">
        <v>0</v>
      </c>
      <c r="G23" s="12">
        <f t="shared" si="0"/>
        <v>72</v>
      </c>
      <c r="H23" s="13">
        <f t="shared" si="1"/>
        <v>122.5</v>
      </c>
    </row>
    <row r="24" spans="1:17" x14ac:dyDescent="0.35">
      <c r="A24" s="3" t="s">
        <v>6</v>
      </c>
      <c r="B24" s="4">
        <v>60.4</v>
      </c>
      <c r="C24" s="3">
        <v>24</v>
      </c>
      <c r="E24">
        <v>0</v>
      </c>
      <c r="F24">
        <v>0</v>
      </c>
      <c r="G24" s="12">
        <f t="shared" si="0"/>
        <v>24</v>
      </c>
      <c r="H24" s="13">
        <f t="shared" si="1"/>
        <v>60.4</v>
      </c>
    </row>
    <row r="25" spans="1:17" x14ac:dyDescent="0.35">
      <c r="A25" s="1" t="s">
        <v>6</v>
      </c>
      <c r="B25" s="2">
        <v>51.1</v>
      </c>
      <c r="C25" s="1">
        <v>25</v>
      </c>
      <c r="E25" s="15">
        <v>0</v>
      </c>
      <c r="F25" s="15">
        <v>0</v>
      </c>
      <c r="G25" s="11">
        <f t="shared" si="0"/>
        <v>25</v>
      </c>
      <c r="H25" s="17">
        <f t="shared" si="1"/>
        <v>51.1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FE1B-A780-445B-A27D-0DC0432B23DF}">
  <sheetPr codeName="Sheet20"/>
  <dimension ref="A1:Z27"/>
  <sheetViews>
    <sheetView workbookViewId="0"/>
  </sheetViews>
  <sheetFormatPr defaultRowHeight="14.5" x14ac:dyDescent="0.35"/>
  <cols>
    <col min="1" max="1" width="8.7265625" style="3"/>
    <col min="2" max="2" width="8.7265625" style="4"/>
    <col min="3" max="4" width="8.7265625" style="3"/>
    <col min="5" max="9" width="4.6328125" customWidth="1"/>
    <col min="10" max="10" width="6.90625" customWidth="1"/>
    <col min="11" max="11" width="4.7265625" customWidth="1"/>
    <col min="12" max="12" width="15.6328125" customWidth="1"/>
    <col min="26" max="26" width="8.7265625" customWidth="1"/>
  </cols>
  <sheetData>
    <row r="1" spans="1:26" x14ac:dyDescent="0.35">
      <c r="A1" s="1" t="s">
        <v>0</v>
      </c>
      <c r="B1" s="2" t="s">
        <v>1</v>
      </c>
      <c r="C1" s="1" t="s">
        <v>2</v>
      </c>
      <c r="E1" s="11" t="str" cm="1">
        <f t="array" ref="E1:J25">[2]!Ancova1Light(A1:C25,TRUE)</f>
        <v>A</v>
      </c>
      <c r="F1" s="11" t="str">
        <v>B</v>
      </c>
      <c r="G1" s="11" t="str">
        <v>S</v>
      </c>
      <c r="H1" s="11" t="str">
        <v>A.S</v>
      </c>
      <c r="I1" s="11" t="str">
        <v>B.S</v>
      </c>
      <c r="J1" s="11" t="str">
        <v>P</v>
      </c>
      <c r="L1" t="s">
        <v>8</v>
      </c>
      <c r="U1" t="s">
        <v>35</v>
      </c>
    </row>
    <row r="2" spans="1:26" x14ac:dyDescent="0.35">
      <c r="A2" s="3" t="s">
        <v>4</v>
      </c>
      <c r="B2" s="4">
        <v>38.099999999999994</v>
      </c>
      <c r="C2" s="3">
        <v>30</v>
      </c>
      <c r="E2">
        <v>1</v>
      </c>
      <c r="F2">
        <v>0</v>
      </c>
      <c r="G2">
        <v>-7.375</v>
      </c>
      <c r="H2">
        <v>-7.375</v>
      </c>
      <c r="I2">
        <v>0</v>
      </c>
      <c r="J2">
        <v>38.099999999999994</v>
      </c>
    </row>
    <row r="3" spans="1:26" ht="15" thickBot="1" x14ac:dyDescent="0.4">
      <c r="A3" s="3" t="s">
        <v>4</v>
      </c>
      <c r="B3" s="4">
        <v>56.1</v>
      </c>
      <c r="C3" s="3">
        <v>55</v>
      </c>
      <c r="E3">
        <v>1</v>
      </c>
      <c r="F3">
        <v>0</v>
      </c>
      <c r="G3">
        <v>17.625</v>
      </c>
      <c r="H3">
        <v>17.625</v>
      </c>
      <c r="I3">
        <v>0</v>
      </c>
      <c r="J3">
        <v>56.1</v>
      </c>
      <c r="L3" s="14" t="s">
        <v>9</v>
      </c>
      <c r="M3" s="14"/>
      <c r="O3" s="14"/>
      <c r="P3" s="14"/>
      <c r="V3" s="18" t="s">
        <v>36</v>
      </c>
      <c r="W3" s="18" t="s">
        <v>37</v>
      </c>
      <c r="X3" s="18" t="s">
        <v>38</v>
      </c>
      <c r="Y3" s="18" t="s">
        <v>39</v>
      </c>
      <c r="Z3" s="18" t="s">
        <v>24</v>
      </c>
    </row>
    <row r="4" spans="1:26" ht="15" thickTop="1" x14ac:dyDescent="0.35">
      <c r="A4" s="3" t="s">
        <v>4</v>
      </c>
      <c r="B4" s="4">
        <v>26.9</v>
      </c>
      <c r="C4" s="3">
        <v>10</v>
      </c>
      <c r="E4">
        <v>1</v>
      </c>
      <c r="F4">
        <v>0</v>
      </c>
      <c r="G4">
        <v>-27.375</v>
      </c>
      <c r="H4">
        <v>-27.375</v>
      </c>
      <c r="I4">
        <v>0</v>
      </c>
      <c r="J4">
        <v>26.9</v>
      </c>
      <c r="L4" t="s">
        <v>10</v>
      </c>
      <c r="M4" t="e">
        <f ca="1">SQRT(M5)</f>
        <v>#NAME?</v>
      </c>
      <c r="O4" t="s">
        <v>11</v>
      </c>
      <c r="P4" t="e">
        <f ca="1">M8*LN(N13/M8)+2*(M12+1)</f>
        <v>#NAME?</v>
      </c>
      <c r="U4" s="19" t="s">
        <v>40</v>
      </c>
      <c r="V4" t="e">
        <f ca="1">'ANCOVA B'!N12</f>
        <v>#NAME?</v>
      </c>
      <c r="W4" t="e">
        <f ca="1">'ANCOVA B'!K5</f>
        <v>#NAME?</v>
      </c>
      <c r="X4" s="3">
        <f>'ANCOVA B'!K12</f>
        <v>3</v>
      </c>
      <c r="Y4" s="3">
        <f>'ANCOVA B'!K13</f>
        <v>20</v>
      </c>
      <c r="Z4" t="e">
        <f ca="1">'ANCOVA B'!O12</f>
        <v>#NAME?</v>
      </c>
    </row>
    <row r="5" spans="1:26" x14ac:dyDescent="0.35">
      <c r="A5" s="3" t="s">
        <v>4</v>
      </c>
      <c r="B5" s="4">
        <v>33.200000000000003</v>
      </c>
      <c r="C5" s="3">
        <v>40</v>
      </c>
      <c r="E5">
        <v>1</v>
      </c>
      <c r="F5">
        <v>0</v>
      </c>
      <c r="G5">
        <v>2.625</v>
      </c>
      <c r="H5">
        <v>2.625</v>
      </c>
      <c r="I5">
        <v>0</v>
      </c>
      <c r="J5">
        <v>33.200000000000003</v>
      </c>
      <c r="L5" t="s">
        <v>12</v>
      </c>
      <c r="M5" t="e">
        <f ca="1">N12/N14</f>
        <v>#NAME?</v>
      </c>
      <c r="O5" t="s">
        <v>13</v>
      </c>
      <c r="P5" t="e">
        <f ca="1">P4+2*(M12+2)*(M12+3)/(M8-M12-3)</f>
        <v>#NAME?</v>
      </c>
      <c r="U5" t="s">
        <v>41</v>
      </c>
      <c r="V5" s="15" t="e">
        <f ca="1">P12</f>
        <v>#NAME?</v>
      </c>
      <c r="W5" s="15" t="e">
        <f ca="1">M5</f>
        <v>#NAME?</v>
      </c>
      <c r="X5" s="1">
        <f>M12</f>
        <v>5</v>
      </c>
      <c r="Y5" s="1">
        <f>M13</f>
        <v>18</v>
      </c>
      <c r="Z5" s="15" t="e">
        <f ca="1">Q12</f>
        <v>#NAME?</v>
      </c>
    </row>
    <row r="6" spans="1:26" x14ac:dyDescent="0.35">
      <c r="A6" s="3" t="s">
        <v>4</v>
      </c>
      <c r="B6" s="4">
        <v>60.699999999999996</v>
      </c>
      <c r="C6" s="3">
        <v>31</v>
      </c>
      <c r="E6">
        <v>1</v>
      </c>
      <c r="F6">
        <v>0</v>
      </c>
      <c r="G6">
        <v>-6.375</v>
      </c>
      <c r="H6">
        <v>-6.375</v>
      </c>
      <c r="I6">
        <v>0</v>
      </c>
      <c r="J6">
        <v>60.699999999999996</v>
      </c>
      <c r="L6" t="s">
        <v>14</v>
      </c>
      <c r="M6" t="e">
        <f ca="1">1-(1-M5)*(M8-1)/(M8-M12-1)</f>
        <v>#NAME?</v>
      </c>
      <c r="O6" s="15" t="s">
        <v>15</v>
      </c>
      <c r="P6" s="15" t="e">
        <f ca="1">M8*LN(N13/M8)+(M12+1)*LN(M8)</f>
        <v>#NAME?</v>
      </c>
      <c r="U6" t="s">
        <v>42</v>
      </c>
      <c r="V6" s="20" t="e">
        <f ca="1">W6*Y6/(X6*(1-W5))</f>
        <v>#NAME?</v>
      </c>
      <c r="W6" t="e">
        <f ca="1">W5-W4</f>
        <v>#NAME?</v>
      </c>
      <c r="X6" s="3">
        <f>X5-X4</f>
        <v>2</v>
      </c>
      <c r="Y6" s="3">
        <f>Y5</f>
        <v>18</v>
      </c>
      <c r="Z6" t="e">
        <f ca="1">_xlfn.F.DIST.RT(V6,X6,Y6)</f>
        <v>#NAME?</v>
      </c>
    </row>
    <row r="7" spans="1:26" x14ac:dyDescent="0.35">
      <c r="A7" s="3" t="s">
        <v>4</v>
      </c>
      <c r="B7" s="4">
        <v>76.599999999999994</v>
      </c>
      <c r="C7" s="3">
        <v>62</v>
      </c>
      <c r="E7">
        <v>1</v>
      </c>
      <c r="F7">
        <v>0</v>
      </c>
      <c r="G7">
        <v>24.625</v>
      </c>
      <c r="H7">
        <v>24.625</v>
      </c>
      <c r="I7">
        <v>0</v>
      </c>
      <c r="J7">
        <v>76.599999999999994</v>
      </c>
      <c r="L7" t="s">
        <v>16</v>
      </c>
      <c r="M7" t="e">
        <f ca="1">SQRT(O13)</f>
        <v>#NAME?</v>
      </c>
    </row>
    <row r="8" spans="1:26" x14ac:dyDescent="0.35">
      <c r="A8" s="3" t="s">
        <v>4</v>
      </c>
      <c r="B8" s="4">
        <v>91.6</v>
      </c>
      <c r="C8" s="3">
        <v>77</v>
      </c>
      <c r="E8">
        <v>1</v>
      </c>
      <c r="F8">
        <v>0</v>
      </c>
      <c r="G8">
        <v>39.625</v>
      </c>
      <c r="H8">
        <v>39.625</v>
      </c>
      <c r="I8">
        <v>0</v>
      </c>
      <c r="J8">
        <v>91.6</v>
      </c>
      <c r="L8" s="15" t="s">
        <v>17</v>
      </c>
      <c r="M8" s="15">
        <f>COUNT(J2:J25)</f>
        <v>24</v>
      </c>
    </row>
    <row r="9" spans="1:26" x14ac:dyDescent="0.35">
      <c r="A9" s="1" t="s">
        <v>4</v>
      </c>
      <c r="B9" s="2">
        <v>56.5</v>
      </c>
      <c r="C9" s="1">
        <v>58</v>
      </c>
      <c r="E9">
        <v>1</v>
      </c>
      <c r="F9">
        <v>0</v>
      </c>
      <c r="G9">
        <v>20.625</v>
      </c>
      <c r="H9">
        <v>20.625</v>
      </c>
      <c r="I9">
        <v>0</v>
      </c>
      <c r="J9">
        <v>56.5</v>
      </c>
    </row>
    <row r="10" spans="1:26" ht="15" thickBot="1" x14ac:dyDescent="0.4">
      <c r="A10" s="3" t="s">
        <v>5</v>
      </c>
      <c r="B10" s="4">
        <v>141.30000000000001</v>
      </c>
      <c r="C10" s="3">
        <v>59</v>
      </c>
      <c r="E10">
        <v>0</v>
      </c>
      <c r="F10">
        <v>1</v>
      </c>
      <c r="G10">
        <v>21.625</v>
      </c>
      <c r="H10">
        <v>0</v>
      </c>
      <c r="I10">
        <v>21.625</v>
      </c>
      <c r="J10">
        <v>141.30000000000001</v>
      </c>
      <c r="L10" t="s">
        <v>18</v>
      </c>
      <c r="P10" s="3" t="s">
        <v>19</v>
      </c>
      <c r="Q10" s="3">
        <v>0.05</v>
      </c>
      <c r="U10" t="s">
        <v>36</v>
      </c>
      <c r="V10" s="21" t="e">
        <f ca="1">_xlfn.F.INV.RT(V13,V11,V12)</f>
        <v>#NAME?</v>
      </c>
    </row>
    <row r="11" spans="1:26" ht="15" thickTop="1" x14ac:dyDescent="0.35">
      <c r="A11" s="3" t="s">
        <v>5</v>
      </c>
      <c r="B11" s="4">
        <v>119.8</v>
      </c>
      <c r="C11" s="3">
        <v>49</v>
      </c>
      <c r="E11">
        <v>0</v>
      </c>
      <c r="F11">
        <v>1</v>
      </c>
      <c r="G11">
        <v>11.625</v>
      </c>
      <c r="H11">
        <v>0</v>
      </c>
      <c r="I11">
        <v>11.625</v>
      </c>
      <c r="J11">
        <v>119.8</v>
      </c>
      <c r="L11" s="16"/>
      <c r="M11" s="16" t="s">
        <v>20</v>
      </c>
      <c r="N11" s="16" t="s">
        <v>21</v>
      </c>
      <c r="O11" s="16" t="s">
        <v>22</v>
      </c>
      <c r="P11" s="16" t="s">
        <v>23</v>
      </c>
      <c r="Q11" s="16" t="s">
        <v>24</v>
      </c>
      <c r="R11" s="16" t="s">
        <v>25</v>
      </c>
      <c r="U11" s="19" t="s">
        <v>38</v>
      </c>
      <c r="V11" s="22">
        <f>COUNTA(L21:L22)</f>
        <v>2</v>
      </c>
    </row>
    <row r="12" spans="1:26" x14ac:dyDescent="0.35">
      <c r="A12" s="3" t="s">
        <v>5</v>
      </c>
      <c r="B12" s="4">
        <v>90.6</v>
      </c>
      <c r="C12" s="3">
        <v>26</v>
      </c>
      <c r="E12">
        <v>0</v>
      </c>
      <c r="F12">
        <v>1</v>
      </c>
      <c r="G12">
        <v>-11.375</v>
      </c>
      <c r="H12">
        <v>0</v>
      </c>
      <c r="I12">
        <v>-11.375</v>
      </c>
      <c r="J12">
        <v>90.6</v>
      </c>
      <c r="L12" t="s">
        <v>26</v>
      </c>
      <c r="M12">
        <f>COUNT(E2:I2)</f>
        <v>5</v>
      </c>
      <c r="N12" t="e">
        <f ca="1">DEVSQ(MMULT(DEsign(E2:I25),M17:M22))</f>
        <v>#NAME?</v>
      </c>
      <c r="O12" t="e">
        <f ca="1">N12/M12</f>
        <v>#NAME?</v>
      </c>
      <c r="P12" t="e">
        <f ca="1">O12/O13</f>
        <v>#NAME?</v>
      </c>
      <c r="Q12" t="e">
        <f ca="1">_xlfn.F.DIST.RT(P12,M12,M13)</f>
        <v>#NAME?</v>
      </c>
      <c r="R12" s="3" t="e">
        <f ca="1">IF(Q12&lt;Q10,"yes","no")</f>
        <v>#NAME?</v>
      </c>
      <c r="U12" t="s">
        <v>39</v>
      </c>
      <c r="V12" s="22">
        <f>M13</f>
        <v>18</v>
      </c>
    </row>
    <row r="13" spans="1:26" x14ac:dyDescent="0.35">
      <c r="A13" s="3" t="s">
        <v>5</v>
      </c>
      <c r="B13" s="4">
        <v>66.100000000000009</v>
      </c>
      <c r="C13" s="3">
        <v>16</v>
      </c>
      <c r="E13">
        <v>0</v>
      </c>
      <c r="F13">
        <v>1</v>
      </c>
      <c r="G13">
        <v>-21.375</v>
      </c>
      <c r="H13">
        <v>0</v>
      </c>
      <c r="I13">
        <v>-21.375</v>
      </c>
      <c r="J13">
        <v>66.100000000000009</v>
      </c>
      <c r="L13" t="s">
        <v>27</v>
      </c>
      <c r="M13">
        <f>M14-M12</f>
        <v>18</v>
      </c>
      <c r="N13" t="e">
        <f ca="1">N14-N12</f>
        <v>#NAME?</v>
      </c>
      <c r="O13" t="e">
        <f ca="1">N13/M13</f>
        <v>#NAME?</v>
      </c>
      <c r="U13" t="s">
        <v>24</v>
      </c>
      <c r="V13" s="23" t="e" cm="1">
        <f t="array" aca="1" ref="V13" ca="1">RSquareTest(E2:I25,E2:G25,J2:J25)</f>
        <v>#NAME?</v>
      </c>
    </row>
    <row r="14" spans="1:26" x14ac:dyDescent="0.35">
      <c r="A14" s="3" t="s">
        <v>5</v>
      </c>
      <c r="B14" s="4">
        <v>126.7</v>
      </c>
      <c r="C14" s="3">
        <v>46</v>
      </c>
      <c r="E14">
        <v>0</v>
      </c>
      <c r="F14">
        <v>1</v>
      </c>
      <c r="G14">
        <v>8.625</v>
      </c>
      <c r="H14">
        <v>0</v>
      </c>
      <c r="I14">
        <v>8.625</v>
      </c>
      <c r="J14">
        <v>126.7</v>
      </c>
      <c r="L14" s="15" t="s">
        <v>7</v>
      </c>
      <c r="M14" s="15">
        <f>M8-1</f>
        <v>23</v>
      </c>
      <c r="N14" s="15">
        <f>DEVSQ(J2:J25)</f>
        <v>22152.693333333329</v>
      </c>
      <c r="O14" s="15"/>
      <c r="P14" s="15"/>
      <c r="Q14" s="15"/>
      <c r="R14" s="15"/>
    </row>
    <row r="15" spans="1:26" ht="15" thickBot="1" x14ac:dyDescent="0.4">
      <c r="A15" s="3" t="s">
        <v>5</v>
      </c>
      <c r="B15" s="4">
        <v>105.2</v>
      </c>
      <c r="C15" s="3">
        <v>35</v>
      </c>
      <c r="E15">
        <v>0</v>
      </c>
      <c r="F15">
        <v>1</v>
      </c>
      <c r="G15">
        <v>-2.375</v>
      </c>
      <c r="H15">
        <v>0</v>
      </c>
      <c r="I15">
        <v>-2.375</v>
      </c>
      <c r="J15">
        <v>105.2</v>
      </c>
    </row>
    <row r="16" spans="1:26" ht="15" thickTop="1" x14ac:dyDescent="0.35">
      <c r="A16" s="3" t="s">
        <v>5</v>
      </c>
      <c r="B16" s="4">
        <v>55</v>
      </c>
      <c r="C16" s="3">
        <v>11</v>
      </c>
      <c r="E16">
        <v>0</v>
      </c>
      <c r="F16">
        <v>1</v>
      </c>
      <c r="G16">
        <v>-26.375</v>
      </c>
      <c r="H16">
        <v>0</v>
      </c>
      <c r="I16">
        <v>-26.375</v>
      </c>
      <c r="J16">
        <v>55</v>
      </c>
      <c r="L16" s="16"/>
      <c r="M16" s="16" t="s">
        <v>28</v>
      </c>
      <c r="N16" s="16" t="s">
        <v>29</v>
      </c>
      <c r="O16" s="16" t="s">
        <v>30</v>
      </c>
      <c r="P16" s="16" t="s">
        <v>24</v>
      </c>
      <c r="Q16" s="16" t="s">
        <v>31</v>
      </c>
      <c r="R16" s="16" t="s">
        <v>32</v>
      </c>
      <c r="S16" s="16" t="s">
        <v>33</v>
      </c>
      <c r="V16" s="24" t="s">
        <v>43</v>
      </c>
      <c r="W16" s="24" t="s">
        <v>44</v>
      </c>
    </row>
    <row r="17" spans="1:24" x14ac:dyDescent="0.35">
      <c r="A17" s="1" t="s">
        <v>5</v>
      </c>
      <c r="B17" s="2">
        <v>64.599999999999994</v>
      </c>
      <c r="C17" s="1">
        <v>19</v>
      </c>
      <c r="E17">
        <v>0</v>
      </c>
      <c r="F17">
        <v>1</v>
      </c>
      <c r="G17">
        <v>-18.375</v>
      </c>
      <c r="H17">
        <v>0</v>
      </c>
      <c r="I17">
        <v>-18.375</v>
      </c>
      <c r="J17">
        <v>64.599999999999994</v>
      </c>
      <c r="L17" t="s">
        <v>34</v>
      </c>
      <c r="M17" t="e">
        <f t="array" aca="1" ref="M17:N22" ca="1">RegCoeff(E2:I25,J2:J25)</f>
        <v>#NAME?</v>
      </c>
      <c r="N17" t="e">
        <f ca="1"/>
        <v>#NAME?</v>
      </c>
      <c r="O17" t="e">
        <f ca="1">M17/N17</f>
        <v>#NAME?</v>
      </c>
      <c r="P17" t="e">
        <f ca="1">_xlfn.T.DIST.2T(ABS(O17),$M$13)</f>
        <v>#NAME?</v>
      </c>
      <c r="Q17" t="e">
        <f ca="1">M17-_xlfn.T.INV.2T(Q$10,$M$13)*N17</f>
        <v>#NAME?</v>
      </c>
      <c r="R17" t="e">
        <f ca="1">M17+_xlfn.T.INV.2T(Q$10,$M$13)*N17</f>
        <v>#NAME?</v>
      </c>
      <c r="U17" s="3" t="s">
        <v>6</v>
      </c>
      <c r="V17" s="5" t="e">
        <f ca="1">M17</f>
        <v>#NAME?</v>
      </c>
      <c r="W17" s="6" t="e">
        <f ca="1">M20</f>
        <v>#NAME?</v>
      </c>
      <c r="X17" t="e">
        <f ca="1">V17+W17*C$27</f>
        <v>#NAME?</v>
      </c>
    </row>
    <row r="18" spans="1:24" x14ac:dyDescent="0.35">
      <c r="A18" s="3" t="s">
        <v>6</v>
      </c>
      <c r="B18" s="4">
        <v>79.599999999999994</v>
      </c>
      <c r="C18" s="3">
        <v>33</v>
      </c>
      <c r="E18">
        <v>0</v>
      </c>
      <c r="F18">
        <v>0</v>
      </c>
      <c r="G18">
        <v>-4.375</v>
      </c>
      <c r="H18">
        <v>0</v>
      </c>
      <c r="I18">
        <v>0</v>
      </c>
      <c r="J18">
        <v>79.599999999999994</v>
      </c>
      <c r="L18" t="str">
        <f t="array" ref="L18:L22">TRANSPOSE(E1:I1)</f>
        <v>A</v>
      </c>
      <c r="M18" t="e">
        <f ca="1"/>
        <v>#NAME?</v>
      </c>
      <c r="N18" t="e">
        <f ca="1"/>
        <v>#NAME?</v>
      </c>
      <c r="O18" t="e">
        <f t="shared" ref="O18:O22" ca="1" si="0">M18/N18</f>
        <v>#NAME?</v>
      </c>
      <c r="P18" t="e">
        <f t="shared" ref="P18:P22" ca="1" si="1">_xlfn.T.DIST.2T(ABS(O18),$M$13)</f>
        <v>#NAME?</v>
      </c>
      <c r="Q18" t="e">
        <f t="shared" ref="Q18:Q22" ca="1" si="2">M18-_xlfn.T.INV.2T(Q$10,$M$13)*N18</f>
        <v>#NAME?</v>
      </c>
      <c r="R18" t="e">
        <f t="shared" ref="R18:R22" ca="1" si="3">M18+_xlfn.T.INV.2T(Q$10,$M$13)*N18</f>
        <v>#NAME?</v>
      </c>
      <c r="S18" t="e">
        <f ca="1">VIF(E2:I25,1)</f>
        <v>#NAME?</v>
      </c>
      <c r="U18" s="3" t="s">
        <v>4</v>
      </c>
      <c r="V18" s="7" t="e">
        <f ca="1">V17+M18</f>
        <v>#NAME?</v>
      </c>
      <c r="W18" s="8" t="e">
        <f ca="1">W17+M21</f>
        <v>#NAME?</v>
      </c>
      <c r="X18" t="e">
        <f ca="1">V18+W18*C$27</f>
        <v>#NAME?</v>
      </c>
    </row>
    <row r="19" spans="1:24" x14ac:dyDescent="0.35">
      <c r="A19" s="3" t="s">
        <v>6</v>
      </c>
      <c r="B19" s="3">
        <v>102.2</v>
      </c>
      <c r="C19" s="3">
        <v>41</v>
      </c>
      <c r="E19">
        <v>0</v>
      </c>
      <c r="F19">
        <v>0</v>
      </c>
      <c r="G19">
        <v>3.625</v>
      </c>
      <c r="H19">
        <v>0</v>
      </c>
      <c r="I19">
        <v>0</v>
      </c>
      <c r="J19">
        <v>102.2</v>
      </c>
      <c r="L19" t="str">
        <v>B</v>
      </c>
      <c r="M19" t="e">
        <f ca="1"/>
        <v>#NAME?</v>
      </c>
      <c r="N19" t="e">
        <f ca="1"/>
        <v>#NAME?</v>
      </c>
      <c r="O19" t="e">
        <f t="shared" ca="1" si="0"/>
        <v>#NAME?</v>
      </c>
      <c r="P19" t="e">
        <f t="shared" ca="1" si="1"/>
        <v>#NAME?</v>
      </c>
      <c r="Q19" t="e">
        <f t="shared" ca="1" si="2"/>
        <v>#NAME?</v>
      </c>
      <c r="R19" t="e">
        <f t="shared" ca="1" si="3"/>
        <v>#NAME?</v>
      </c>
      <c r="S19" t="e">
        <f ca="1">VIF(E2:I25,2)</f>
        <v>#NAME?</v>
      </c>
      <c r="U19" s="3" t="s">
        <v>5</v>
      </c>
      <c r="V19" s="9" t="e">
        <f ca="1">V17+M19</f>
        <v>#NAME?</v>
      </c>
      <c r="W19" s="10" t="e">
        <f ca="1">W17+M22</f>
        <v>#NAME?</v>
      </c>
      <c r="X19" t="e">
        <f ca="1">V19+W19*C$27</f>
        <v>#NAME?</v>
      </c>
    </row>
    <row r="20" spans="1:24" x14ac:dyDescent="0.35">
      <c r="A20" s="3" t="s">
        <v>6</v>
      </c>
      <c r="B20" s="4">
        <v>65.8</v>
      </c>
      <c r="C20" s="3">
        <v>25</v>
      </c>
      <c r="E20">
        <v>0</v>
      </c>
      <c r="F20">
        <v>0</v>
      </c>
      <c r="G20">
        <v>-12.375</v>
      </c>
      <c r="H20">
        <v>0</v>
      </c>
      <c r="I20">
        <v>0</v>
      </c>
      <c r="J20">
        <v>65.8</v>
      </c>
      <c r="L20" t="str">
        <v>S</v>
      </c>
      <c r="M20" t="e">
        <f ca="1"/>
        <v>#NAME?</v>
      </c>
      <c r="N20" t="e">
        <f ca="1"/>
        <v>#NAME?</v>
      </c>
      <c r="O20" t="e">
        <f t="shared" ca="1" si="0"/>
        <v>#NAME?</v>
      </c>
      <c r="P20" t="e">
        <f t="shared" ca="1" si="1"/>
        <v>#NAME?</v>
      </c>
      <c r="Q20" t="e">
        <f t="shared" ca="1" si="2"/>
        <v>#NAME?</v>
      </c>
      <c r="R20" t="e">
        <f t="shared" ca="1" si="3"/>
        <v>#NAME?</v>
      </c>
      <c r="S20" t="e">
        <f ca="1">VIF(E2:I25,3)</f>
        <v>#NAME?</v>
      </c>
    </row>
    <row r="21" spans="1:24" x14ac:dyDescent="0.35">
      <c r="A21" s="3" t="s">
        <v>6</v>
      </c>
      <c r="B21" s="4">
        <v>46.699999999999996</v>
      </c>
      <c r="C21" s="3">
        <v>11</v>
      </c>
      <c r="E21">
        <v>0</v>
      </c>
      <c r="F21">
        <v>0</v>
      </c>
      <c r="G21">
        <v>-26.375</v>
      </c>
      <c r="H21">
        <v>0</v>
      </c>
      <c r="I21">
        <v>0</v>
      </c>
      <c r="J21">
        <v>46.699999999999996</v>
      </c>
      <c r="L21" t="str">
        <v>A.S</v>
      </c>
      <c r="M21" t="e">
        <f ca="1"/>
        <v>#NAME?</v>
      </c>
      <c r="N21" t="e">
        <f ca="1"/>
        <v>#NAME?</v>
      </c>
      <c r="O21" t="e">
        <f t="shared" ca="1" si="0"/>
        <v>#NAME?</v>
      </c>
      <c r="P21" t="e">
        <f t="shared" ca="1" si="1"/>
        <v>#NAME?</v>
      </c>
      <c r="Q21" t="e">
        <f t="shared" ca="1" si="2"/>
        <v>#NAME?</v>
      </c>
      <c r="R21" t="e">
        <f t="shared" ca="1" si="3"/>
        <v>#NAME?</v>
      </c>
      <c r="S21" t="e">
        <f ca="1">VIF(E2:I25,4)</f>
        <v>#NAME?</v>
      </c>
    </row>
    <row r="22" spans="1:24" x14ac:dyDescent="0.35">
      <c r="A22" s="3" t="s">
        <v>6</v>
      </c>
      <c r="B22" s="4">
        <v>82.7</v>
      </c>
      <c r="C22" s="3">
        <v>42</v>
      </c>
      <c r="E22">
        <v>0</v>
      </c>
      <c r="F22">
        <v>0</v>
      </c>
      <c r="G22">
        <v>4.625</v>
      </c>
      <c r="H22">
        <v>0</v>
      </c>
      <c r="I22">
        <v>0</v>
      </c>
      <c r="J22">
        <v>82.7</v>
      </c>
      <c r="L22" s="15" t="str">
        <v>B.S</v>
      </c>
      <c r="M22" s="15" t="e">
        <f ca="1"/>
        <v>#NAME?</v>
      </c>
      <c r="N22" s="15" t="e">
        <f ca="1"/>
        <v>#NAME?</v>
      </c>
      <c r="O22" s="15" t="e">
        <f t="shared" ca="1" si="0"/>
        <v>#NAME?</v>
      </c>
      <c r="P22" s="15" t="e">
        <f t="shared" ca="1" si="1"/>
        <v>#NAME?</v>
      </c>
      <c r="Q22" s="15" t="e">
        <f t="shared" ca="1" si="2"/>
        <v>#NAME?</v>
      </c>
      <c r="R22" s="15" t="e">
        <f t="shared" ca="1" si="3"/>
        <v>#NAME?</v>
      </c>
      <c r="S22" s="15" t="e">
        <f ca="1">VIF(E2:I25,5)</f>
        <v>#NAME?</v>
      </c>
    </row>
    <row r="23" spans="1:24" x14ac:dyDescent="0.35">
      <c r="A23" s="3" t="s">
        <v>6</v>
      </c>
      <c r="B23" s="4">
        <v>122.5</v>
      </c>
      <c r="C23" s="3">
        <v>72</v>
      </c>
      <c r="E23">
        <v>0</v>
      </c>
      <c r="F23">
        <v>0</v>
      </c>
      <c r="G23">
        <v>34.625</v>
      </c>
      <c r="H23">
        <v>0</v>
      </c>
      <c r="I23">
        <v>0</v>
      </c>
      <c r="J23">
        <v>122.5</v>
      </c>
    </row>
    <row r="24" spans="1:24" x14ac:dyDescent="0.35">
      <c r="A24" s="3" t="s">
        <v>6</v>
      </c>
      <c r="B24" s="4">
        <v>60.4</v>
      </c>
      <c r="C24" s="3">
        <v>24</v>
      </c>
      <c r="E24">
        <v>0</v>
      </c>
      <c r="F24">
        <v>0</v>
      </c>
      <c r="G24">
        <v>-13.375</v>
      </c>
      <c r="H24">
        <v>0</v>
      </c>
      <c r="I24">
        <v>0</v>
      </c>
      <c r="J24">
        <v>60.4</v>
      </c>
    </row>
    <row r="25" spans="1:24" x14ac:dyDescent="0.35">
      <c r="A25" s="1" t="s">
        <v>6</v>
      </c>
      <c r="B25" s="2">
        <v>51.1</v>
      </c>
      <c r="C25" s="1">
        <v>25</v>
      </c>
      <c r="E25" s="15">
        <v>0</v>
      </c>
      <c r="F25" s="15">
        <v>0</v>
      </c>
      <c r="G25" s="15">
        <v>-12.375</v>
      </c>
      <c r="H25" s="15">
        <v>0</v>
      </c>
      <c r="I25" s="15">
        <v>0</v>
      </c>
      <c r="J25" s="15">
        <v>51.1</v>
      </c>
    </row>
    <row r="27" spans="1:24" x14ac:dyDescent="0.35">
      <c r="B27" s="4" t="s">
        <v>45</v>
      </c>
      <c r="C27" s="3">
        <f>AVERAGE(C2:C25)</f>
        <v>37.375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84DF-0F78-4E6F-B9C0-81D84C0FE10D}">
  <sheetPr codeName="Sheet34"/>
  <dimension ref="A1:Z25"/>
  <sheetViews>
    <sheetView workbookViewId="0"/>
  </sheetViews>
  <sheetFormatPr defaultRowHeight="14.5" x14ac:dyDescent="0.35"/>
  <cols>
    <col min="1" max="1" width="8.7265625" style="3"/>
    <col min="2" max="2" width="8.7265625" style="4"/>
    <col min="3" max="4" width="8.7265625" style="3"/>
    <col min="5" max="6" width="4.7265625" customWidth="1"/>
    <col min="7" max="10" width="6.7265625" customWidth="1"/>
    <col min="11" max="11" width="4.7265625" customWidth="1"/>
    <col min="12" max="12" width="15.6328125" customWidth="1"/>
  </cols>
  <sheetData>
    <row r="1" spans="1:26" x14ac:dyDescent="0.35">
      <c r="A1" s="1" t="s">
        <v>0</v>
      </c>
      <c r="B1" s="2" t="s">
        <v>1</v>
      </c>
      <c r="C1" s="1" t="s">
        <v>2</v>
      </c>
      <c r="E1" s="11" t="str" cm="1">
        <f t="array" ref="E1:J25">[2]!Ancova1Light(A1:C25,TRUE)</f>
        <v>A</v>
      </c>
      <c r="F1" s="11" t="str">
        <v>B</v>
      </c>
      <c r="G1" s="11" t="str">
        <v>S</v>
      </c>
      <c r="H1" s="11" t="str">
        <v>A.S</v>
      </c>
      <c r="I1" s="11" t="str">
        <v>B.S</v>
      </c>
      <c r="J1" s="11" t="str">
        <v>P</v>
      </c>
      <c r="L1" t="s">
        <v>8</v>
      </c>
      <c r="U1" t="s">
        <v>35</v>
      </c>
    </row>
    <row r="2" spans="1:26" x14ac:dyDescent="0.35">
      <c r="A2" s="3" t="s">
        <v>4</v>
      </c>
      <c r="B2" s="4">
        <v>38.099999999999994</v>
      </c>
      <c r="C2" s="3">
        <f>'ANCOVA C'!C2-'ANCOVA A'!F$7</f>
        <v>-7.375</v>
      </c>
      <c r="E2">
        <v>1</v>
      </c>
      <c r="F2">
        <v>0</v>
      </c>
      <c r="G2">
        <v>-7.375</v>
      </c>
      <c r="H2">
        <v>-7.375</v>
      </c>
      <c r="I2">
        <v>0</v>
      </c>
      <c r="J2">
        <v>38.099999999999994</v>
      </c>
    </row>
    <row r="3" spans="1:26" ht="15" thickBot="1" x14ac:dyDescent="0.4">
      <c r="A3" s="3" t="s">
        <v>4</v>
      </c>
      <c r="B3" s="4">
        <v>56.1</v>
      </c>
      <c r="C3" s="3">
        <f>'ANCOVA C'!C3-'ANCOVA A'!F$7</f>
        <v>17.625</v>
      </c>
      <c r="E3">
        <v>1</v>
      </c>
      <c r="F3">
        <v>0</v>
      </c>
      <c r="G3">
        <v>17.625</v>
      </c>
      <c r="H3">
        <v>17.625</v>
      </c>
      <c r="I3">
        <v>0</v>
      </c>
      <c r="J3">
        <v>56.1</v>
      </c>
      <c r="L3" s="14" t="s">
        <v>9</v>
      </c>
      <c r="M3" s="14"/>
      <c r="O3" s="14"/>
      <c r="P3" s="14"/>
      <c r="V3" s="18" t="s">
        <v>36</v>
      </c>
      <c r="W3" s="18" t="s">
        <v>37</v>
      </c>
      <c r="X3" s="18" t="s">
        <v>38</v>
      </c>
      <c r="Y3" s="18" t="s">
        <v>39</v>
      </c>
      <c r="Z3" s="18" t="s">
        <v>24</v>
      </c>
    </row>
    <row r="4" spans="1:26" ht="15" thickTop="1" x14ac:dyDescent="0.35">
      <c r="A4" s="3" t="s">
        <v>4</v>
      </c>
      <c r="B4" s="4">
        <v>26.9</v>
      </c>
      <c r="C4" s="3">
        <f>'ANCOVA C'!C4-'ANCOVA A'!F$7</f>
        <v>-27.375</v>
      </c>
      <c r="E4">
        <v>1</v>
      </c>
      <c r="F4">
        <v>0</v>
      </c>
      <c r="G4">
        <v>-27.375</v>
      </c>
      <c r="H4">
        <v>-27.375</v>
      </c>
      <c r="I4">
        <v>0</v>
      </c>
      <c r="J4">
        <v>26.9</v>
      </c>
      <c r="L4" t="s">
        <v>10</v>
      </c>
      <c r="M4" t="e">
        <f ca="1">SQRT(M5)</f>
        <v>#NAME?</v>
      </c>
      <c r="O4" t="s">
        <v>11</v>
      </c>
      <c r="P4" t="e">
        <f ca="1">M8*LN(N13/M8)+2*(M12+1)</f>
        <v>#NAME?</v>
      </c>
      <c r="U4" s="19" t="s">
        <v>40</v>
      </c>
      <c r="V4" t="e">
        <f ca="1">'ANCOVA B'!N12</f>
        <v>#NAME?</v>
      </c>
      <c r="W4" t="e">
        <f ca="1">'ANCOVA B'!K5</f>
        <v>#NAME?</v>
      </c>
      <c r="X4" s="3">
        <f>'ANCOVA B'!K12</f>
        <v>3</v>
      </c>
      <c r="Y4" s="3">
        <f>'ANCOVA B'!K13</f>
        <v>20</v>
      </c>
      <c r="Z4" t="e">
        <f ca="1">'ANCOVA B'!O12</f>
        <v>#NAME?</v>
      </c>
    </row>
    <row r="5" spans="1:26" x14ac:dyDescent="0.35">
      <c r="A5" s="3" t="s">
        <v>4</v>
      </c>
      <c r="B5" s="4">
        <v>33.200000000000003</v>
      </c>
      <c r="C5" s="3">
        <f>'ANCOVA C'!C5-'ANCOVA A'!F$7</f>
        <v>2.625</v>
      </c>
      <c r="E5">
        <v>1</v>
      </c>
      <c r="F5">
        <v>0</v>
      </c>
      <c r="G5">
        <v>2.625</v>
      </c>
      <c r="H5">
        <v>2.625</v>
      </c>
      <c r="I5">
        <v>0</v>
      </c>
      <c r="J5">
        <v>33.200000000000003</v>
      </c>
      <c r="L5" t="s">
        <v>12</v>
      </c>
      <c r="M5" t="e">
        <f ca="1">N12/N14</f>
        <v>#NAME?</v>
      </c>
      <c r="O5" t="s">
        <v>13</v>
      </c>
      <c r="P5" t="e">
        <f ca="1">P4+2*(M12+2)*(M12+3)/(M8-M12-3)</f>
        <v>#NAME?</v>
      </c>
      <c r="U5" t="s">
        <v>41</v>
      </c>
      <c r="V5" s="15" t="e">
        <f ca="1">P12</f>
        <v>#NAME?</v>
      </c>
      <c r="W5" s="15" t="e">
        <f ca="1">M5</f>
        <v>#NAME?</v>
      </c>
      <c r="X5" s="1">
        <f>M12</f>
        <v>5</v>
      </c>
      <c r="Y5" s="1">
        <f>M13</f>
        <v>18</v>
      </c>
      <c r="Z5" s="15" t="e">
        <f ca="1">Q12</f>
        <v>#NAME?</v>
      </c>
    </row>
    <row r="6" spans="1:26" x14ac:dyDescent="0.35">
      <c r="A6" s="3" t="s">
        <v>4</v>
      </c>
      <c r="B6" s="4">
        <v>60.699999999999996</v>
      </c>
      <c r="C6" s="3">
        <f>'ANCOVA C'!C6-'ANCOVA A'!F$7</f>
        <v>-6.375</v>
      </c>
      <c r="E6">
        <v>1</v>
      </c>
      <c r="F6">
        <v>0</v>
      </c>
      <c r="G6">
        <v>-6.375</v>
      </c>
      <c r="H6">
        <v>-6.375</v>
      </c>
      <c r="I6">
        <v>0</v>
      </c>
      <c r="J6">
        <v>60.699999999999996</v>
      </c>
      <c r="L6" t="s">
        <v>14</v>
      </c>
      <c r="M6" t="e">
        <f ca="1">1-(1-M5)*(M8-1)/(M8-M12-1)</f>
        <v>#NAME?</v>
      </c>
      <c r="O6" s="15" t="s">
        <v>15</v>
      </c>
      <c r="P6" s="15" t="e">
        <f ca="1">M8*LN(N13/M8)+(M12+1)*LN(M8)</f>
        <v>#NAME?</v>
      </c>
      <c r="U6" t="s">
        <v>42</v>
      </c>
      <c r="V6" s="20" t="e">
        <f ca="1">W6*Y6/(X6*(1-W5))</f>
        <v>#NAME?</v>
      </c>
      <c r="W6" t="e">
        <f ca="1">W5-W4</f>
        <v>#NAME?</v>
      </c>
      <c r="X6" s="3">
        <f>X5-X4</f>
        <v>2</v>
      </c>
      <c r="Y6" s="3">
        <f>Y5</f>
        <v>18</v>
      </c>
      <c r="Z6" t="e">
        <f ca="1">_xlfn.F.DIST.RT(V6,X6,Y6)</f>
        <v>#NAME?</v>
      </c>
    </row>
    <row r="7" spans="1:26" x14ac:dyDescent="0.35">
      <c r="A7" s="3" t="s">
        <v>4</v>
      </c>
      <c r="B7" s="4">
        <v>76.599999999999994</v>
      </c>
      <c r="C7" s="3">
        <f>'ANCOVA C'!C7-'ANCOVA A'!F$7</f>
        <v>24.625</v>
      </c>
      <c r="E7">
        <v>1</v>
      </c>
      <c r="F7">
        <v>0</v>
      </c>
      <c r="G7">
        <v>24.625</v>
      </c>
      <c r="H7">
        <v>24.625</v>
      </c>
      <c r="I7">
        <v>0</v>
      </c>
      <c r="J7">
        <v>76.599999999999994</v>
      </c>
      <c r="L7" t="s">
        <v>16</v>
      </c>
      <c r="M7" t="e">
        <f ca="1">SQRT(O13)</f>
        <v>#NAME?</v>
      </c>
    </row>
    <row r="8" spans="1:26" x14ac:dyDescent="0.35">
      <c r="A8" s="3" t="s">
        <v>4</v>
      </c>
      <c r="B8" s="4">
        <v>91.6</v>
      </c>
      <c r="C8" s="3">
        <f>'ANCOVA C'!C8-'ANCOVA A'!F$7</f>
        <v>39.625</v>
      </c>
      <c r="E8">
        <v>1</v>
      </c>
      <c r="F8">
        <v>0</v>
      </c>
      <c r="G8">
        <v>39.625</v>
      </c>
      <c r="H8">
        <v>39.625</v>
      </c>
      <c r="I8">
        <v>0</v>
      </c>
      <c r="J8">
        <v>91.6</v>
      </c>
      <c r="L8" s="15" t="s">
        <v>17</v>
      </c>
      <c r="M8" s="15">
        <f>COUNT(J2:J25)</f>
        <v>24</v>
      </c>
    </row>
    <row r="9" spans="1:26" x14ac:dyDescent="0.35">
      <c r="A9" s="1" t="s">
        <v>4</v>
      </c>
      <c r="B9" s="2">
        <v>56.5</v>
      </c>
      <c r="C9" s="1">
        <f>'ANCOVA C'!C9-'ANCOVA A'!F$7</f>
        <v>20.625</v>
      </c>
      <c r="E9">
        <v>1</v>
      </c>
      <c r="F9">
        <v>0</v>
      </c>
      <c r="G9">
        <v>20.625</v>
      </c>
      <c r="H9">
        <v>20.625</v>
      </c>
      <c r="I9">
        <v>0</v>
      </c>
      <c r="J9">
        <v>56.5</v>
      </c>
    </row>
    <row r="10" spans="1:26" ht="15" thickBot="1" x14ac:dyDescent="0.4">
      <c r="A10" s="3" t="s">
        <v>5</v>
      </c>
      <c r="B10" s="4">
        <v>141.30000000000001</v>
      </c>
      <c r="C10" s="3">
        <f>'ANCOVA C'!C10-'ANCOVA A'!F$7</f>
        <v>21.625</v>
      </c>
      <c r="E10">
        <v>0</v>
      </c>
      <c r="F10">
        <v>1</v>
      </c>
      <c r="G10">
        <v>21.625</v>
      </c>
      <c r="H10">
        <v>0</v>
      </c>
      <c r="I10">
        <v>21.625</v>
      </c>
      <c r="J10">
        <v>141.30000000000001</v>
      </c>
      <c r="L10" t="s">
        <v>18</v>
      </c>
      <c r="P10" s="3" t="s">
        <v>19</v>
      </c>
      <c r="Q10" s="3">
        <v>0.05</v>
      </c>
      <c r="U10" t="s">
        <v>36</v>
      </c>
      <c r="V10" s="21" t="e">
        <f ca="1">_xlfn.F.INV.RT(V13,V11,V12)</f>
        <v>#NAME?</v>
      </c>
    </row>
    <row r="11" spans="1:26" ht="15" thickTop="1" x14ac:dyDescent="0.35">
      <c r="A11" s="3" t="s">
        <v>5</v>
      </c>
      <c r="B11" s="4">
        <v>119.8</v>
      </c>
      <c r="C11" s="3">
        <f>'ANCOVA C'!C11-'ANCOVA A'!F$7</f>
        <v>11.625</v>
      </c>
      <c r="E11">
        <v>0</v>
      </c>
      <c r="F11">
        <v>1</v>
      </c>
      <c r="G11">
        <v>11.625</v>
      </c>
      <c r="H11">
        <v>0</v>
      </c>
      <c r="I11">
        <v>11.625</v>
      </c>
      <c r="J11">
        <v>119.8</v>
      </c>
      <c r="L11" s="16"/>
      <c r="M11" s="16" t="s">
        <v>20</v>
      </c>
      <c r="N11" s="16" t="s">
        <v>21</v>
      </c>
      <c r="O11" s="16" t="s">
        <v>22</v>
      </c>
      <c r="P11" s="16" t="s">
        <v>23</v>
      </c>
      <c r="Q11" s="16" t="s">
        <v>24</v>
      </c>
      <c r="R11" s="16" t="s">
        <v>25</v>
      </c>
      <c r="U11" s="19" t="s">
        <v>38</v>
      </c>
      <c r="V11" s="22">
        <f>COUNTA(L21:L22)</f>
        <v>2</v>
      </c>
    </row>
    <row r="12" spans="1:26" x14ac:dyDescent="0.35">
      <c r="A12" s="3" t="s">
        <v>5</v>
      </c>
      <c r="B12" s="4">
        <v>90.6</v>
      </c>
      <c r="C12" s="3">
        <f>'ANCOVA C'!C12-'ANCOVA A'!F$7</f>
        <v>-11.375</v>
      </c>
      <c r="E12">
        <v>0</v>
      </c>
      <c r="F12">
        <v>1</v>
      </c>
      <c r="G12">
        <v>-11.375</v>
      </c>
      <c r="H12">
        <v>0</v>
      </c>
      <c r="I12">
        <v>-11.375</v>
      </c>
      <c r="J12">
        <v>90.6</v>
      </c>
      <c r="L12" t="s">
        <v>26</v>
      </c>
      <c r="M12">
        <f>COUNT(E2:I2)</f>
        <v>5</v>
      </c>
      <c r="N12" t="e">
        <f ca="1">DEVSQ(MMULT(DEsign(E2:I25),M17:M22))</f>
        <v>#NAME?</v>
      </c>
      <c r="O12" t="e">
        <f ca="1">N12/M12</f>
        <v>#NAME?</v>
      </c>
      <c r="P12" t="e">
        <f ca="1">O12/O13</f>
        <v>#NAME?</v>
      </c>
      <c r="Q12" t="e">
        <f ca="1">_xlfn.F.DIST.RT(P12,M12,M13)</f>
        <v>#NAME?</v>
      </c>
      <c r="R12" s="3" t="e">
        <f ca="1">IF(Q12&lt;Q10,"yes","no")</f>
        <v>#NAME?</v>
      </c>
      <c r="U12" t="s">
        <v>39</v>
      </c>
      <c r="V12" s="22">
        <f>M13</f>
        <v>18</v>
      </c>
    </row>
    <row r="13" spans="1:26" x14ac:dyDescent="0.35">
      <c r="A13" s="3" t="s">
        <v>5</v>
      </c>
      <c r="B13" s="4">
        <v>66.100000000000009</v>
      </c>
      <c r="C13" s="3">
        <f>'ANCOVA C'!C13-'ANCOVA A'!F$7</f>
        <v>-21.375</v>
      </c>
      <c r="E13">
        <v>0</v>
      </c>
      <c r="F13">
        <v>1</v>
      </c>
      <c r="G13">
        <v>-21.375</v>
      </c>
      <c r="H13">
        <v>0</v>
      </c>
      <c r="I13">
        <v>-21.375</v>
      </c>
      <c r="J13">
        <v>66.100000000000009</v>
      </c>
      <c r="L13" t="s">
        <v>27</v>
      </c>
      <c r="M13">
        <f>M14-M12</f>
        <v>18</v>
      </c>
      <c r="N13" t="e">
        <f ca="1">N14-N12</f>
        <v>#NAME?</v>
      </c>
      <c r="O13" t="e">
        <f ca="1">N13/M13</f>
        <v>#NAME?</v>
      </c>
      <c r="U13" t="s">
        <v>24</v>
      </c>
      <c r="V13" s="23" t="e" cm="1">
        <f t="array" aca="1" ref="V13" ca="1">RSquareTest(E2:I25,E2:G25,J2:J25)</f>
        <v>#NAME?</v>
      </c>
    </row>
    <row r="14" spans="1:26" x14ac:dyDescent="0.35">
      <c r="A14" s="3" t="s">
        <v>5</v>
      </c>
      <c r="B14" s="4">
        <v>126.7</v>
      </c>
      <c r="C14" s="3">
        <f>'ANCOVA C'!C14-'ANCOVA A'!F$7</f>
        <v>8.625</v>
      </c>
      <c r="E14">
        <v>0</v>
      </c>
      <c r="F14">
        <v>1</v>
      </c>
      <c r="G14">
        <v>8.625</v>
      </c>
      <c r="H14">
        <v>0</v>
      </c>
      <c r="I14">
        <v>8.625</v>
      </c>
      <c r="J14">
        <v>126.7</v>
      </c>
      <c r="L14" s="15" t="s">
        <v>7</v>
      </c>
      <c r="M14" s="15">
        <f>M8-1</f>
        <v>23</v>
      </c>
      <c r="N14" s="15">
        <f>DEVSQ(J2:J25)</f>
        <v>22152.693333333329</v>
      </c>
      <c r="O14" s="15"/>
      <c r="P14" s="15"/>
      <c r="Q14" s="15"/>
      <c r="R14" s="15"/>
    </row>
    <row r="15" spans="1:26" ht="15" thickBot="1" x14ac:dyDescent="0.4">
      <c r="A15" s="3" t="s">
        <v>5</v>
      </c>
      <c r="B15" s="4">
        <v>105.2</v>
      </c>
      <c r="C15" s="3">
        <f>'ANCOVA C'!C15-'ANCOVA A'!F$7</f>
        <v>-2.375</v>
      </c>
      <c r="E15">
        <v>0</v>
      </c>
      <c r="F15">
        <v>1</v>
      </c>
      <c r="G15">
        <v>-2.375</v>
      </c>
      <c r="H15">
        <v>0</v>
      </c>
      <c r="I15">
        <v>-2.375</v>
      </c>
      <c r="J15">
        <v>105.2</v>
      </c>
    </row>
    <row r="16" spans="1:26" ht="15" thickTop="1" x14ac:dyDescent="0.35">
      <c r="A16" s="3" t="s">
        <v>5</v>
      </c>
      <c r="B16" s="4">
        <v>55</v>
      </c>
      <c r="C16" s="3">
        <f>'ANCOVA C'!C16-'ANCOVA A'!F$7</f>
        <v>-26.375</v>
      </c>
      <c r="E16">
        <v>0</v>
      </c>
      <c r="F16">
        <v>1</v>
      </c>
      <c r="G16">
        <v>-26.375</v>
      </c>
      <c r="H16">
        <v>0</v>
      </c>
      <c r="I16">
        <v>-26.375</v>
      </c>
      <c r="J16">
        <v>55</v>
      </c>
      <c r="L16" s="16"/>
      <c r="M16" s="16" t="s">
        <v>28</v>
      </c>
      <c r="N16" s="16" t="s">
        <v>29</v>
      </c>
      <c r="O16" s="16" t="s">
        <v>30</v>
      </c>
      <c r="P16" s="16" t="s">
        <v>24</v>
      </c>
      <c r="Q16" s="16" t="s">
        <v>31</v>
      </c>
      <c r="R16" s="16" t="s">
        <v>32</v>
      </c>
      <c r="S16" s="16" t="s">
        <v>33</v>
      </c>
      <c r="V16" s="24" t="s">
        <v>43</v>
      </c>
      <c r="W16" s="24" t="s">
        <v>44</v>
      </c>
    </row>
    <row r="17" spans="1:24" x14ac:dyDescent="0.35">
      <c r="A17" s="1" t="s">
        <v>5</v>
      </c>
      <c r="B17" s="2">
        <v>64.599999999999994</v>
      </c>
      <c r="C17" s="1">
        <f>'ANCOVA C'!C17-'ANCOVA A'!F$7</f>
        <v>-18.375</v>
      </c>
      <c r="E17">
        <v>0</v>
      </c>
      <c r="F17">
        <v>1</v>
      </c>
      <c r="G17">
        <v>-18.375</v>
      </c>
      <c r="H17">
        <v>0</v>
      </c>
      <c r="I17">
        <v>-18.375</v>
      </c>
      <c r="J17">
        <v>64.599999999999994</v>
      </c>
      <c r="L17" t="s">
        <v>34</v>
      </c>
      <c r="M17" t="e">
        <f t="array" aca="1" ref="M17:N22" ca="1">RegCoeff(E2:I25,J2:J25)</f>
        <v>#NAME?</v>
      </c>
      <c r="N17" t="e">
        <f ca="1"/>
        <v>#NAME?</v>
      </c>
      <c r="O17" t="e">
        <f ca="1">M17/N17</f>
        <v>#NAME?</v>
      </c>
      <c r="P17" t="e">
        <f ca="1">_xlfn.T.DIST.2T(ABS(O17),$M$13)</f>
        <v>#NAME?</v>
      </c>
      <c r="Q17" t="e">
        <f ca="1">M17-_xlfn.T.INV.2T(Q$10,$M$13)*N17</f>
        <v>#NAME?</v>
      </c>
      <c r="R17" t="e">
        <f ca="1">M17+_xlfn.T.INV.2T(Q$10,$M$13)*N17</f>
        <v>#NAME?</v>
      </c>
      <c r="U17" s="3" t="s">
        <v>6</v>
      </c>
      <c r="V17" s="5" t="e">
        <f ca="1">M17</f>
        <v>#NAME?</v>
      </c>
      <c r="W17" s="6" t="e">
        <f ca="1">M20</f>
        <v>#NAME?</v>
      </c>
      <c r="X17" t="e">
        <f ca="1">V17+W17*C$27</f>
        <v>#NAME?</v>
      </c>
    </row>
    <row r="18" spans="1:24" x14ac:dyDescent="0.35">
      <c r="A18" s="3" t="s">
        <v>6</v>
      </c>
      <c r="B18" s="4">
        <v>79.599999999999994</v>
      </c>
      <c r="C18" s="3">
        <f>'ANCOVA C'!C18-'ANCOVA A'!F$7</f>
        <v>-4.375</v>
      </c>
      <c r="E18">
        <v>0</v>
      </c>
      <c r="F18">
        <v>0</v>
      </c>
      <c r="G18">
        <v>-4.375</v>
      </c>
      <c r="H18">
        <v>0</v>
      </c>
      <c r="I18">
        <v>0</v>
      </c>
      <c r="J18">
        <v>79.599999999999994</v>
      </c>
      <c r="L18" t="str">
        <f t="array" ref="L18:L22">TRANSPOSE(E1:I1)</f>
        <v>A</v>
      </c>
      <c r="M18" t="e">
        <f ca="1"/>
        <v>#NAME?</v>
      </c>
      <c r="N18" t="e">
        <f ca="1"/>
        <v>#NAME?</v>
      </c>
      <c r="O18" t="e">
        <f t="shared" ref="O18:O22" ca="1" si="0">M18/N18</f>
        <v>#NAME?</v>
      </c>
      <c r="P18" t="e">
        <f t="shared" ref="P18:P22" ca="1" si="1">_xlfn.T.DIST.2T(ABS(O18),$M$13)</f>
        <v>#NAME?</v>
      </c>
      <c r="Q18" t="e">
        <f t="shared" ref="Q18:Q22" ca="1" si="2">M18-_xlfn.T.INV.2T(Q$10,$M$13)*N18</f>
        <v>#NAME?</v>
      </c>
      <c r="R18" t="e">
        <f t="shared" ref="R18:R22" ca="1" si="3">M18+_xlfn.T.INV.2T(Q$10,$M$13)*N18</f>
        <v>#NAME?</v>
      </c>
      <c r="S18" t="e">
        <f ca="1">VIF(E2:I25,1)</f>
        <v>#NAME?</v>
      </c>
      <c r="U18" s="3" t="s">
        <v>4</v>
      </c>
      <c r="V18" s="7" t="e">
        <f ca="1">V17+M18</f>
        <v>#NAME?</v>
      </c>
      <c r="W18" s="8" t="e">
        <f ca="1">W17+M21</f>
        <v>#NAME?</v>
      </c>
      <c r="X18" t="e">
        <f ca="1">V18+W18*C$27</f>
        <v>#NAME?</v>
      </c>
    </row>
    <row r="19" spans="1:24" x14ac:dyDescent="0.35">
      <c r="A19" s="3" t="s">
        <v>6</v>
      </c>
      <c r="B19" s="3">
        <v>102.2</v>
      </c>
      <c r="C19" s="3">
        <f>'ANCOVA C'!C19-'ANCOVA A'!F$7</f>
        <v>3.625</v>
      </c>
      <c r="E19">
        <v>0</v>
      </c>
      <c r="F19">
        <v>0</v>
      </c>
      <c r="G19">
        <v>3.625</v>
      </c>
      <c r="H19">
        <v>0</v>
      </c>
      <c r="I19">
        <v>0</v>
      </c>
      <c r="J19">
        <v>102.2</v>
      </c>
      <c r="L19" t="str">
        <v>B</v>
      </c>
      <c r="M19" t="e">
        <f ca="1"/>
        <v>#NAME?</v>
      </c>
      <c r="N19" t="e">
        <f ca="1"/>
        <v>#NAME?</v>
      </c>
      <c r="O19" t="e">
        <f t="shared" ca="1" si="0"/>
        <v>#NAME?</v>
      </c>
      <c r="P19" t="e">
        <f t="shared" ca="1" si="1"/>
        <v>#NAME?</v>
      </c>
      <c r="Q19" t="e">
        <f t="shared" ca="1" si="2"/>
        <v>#NAME?</v>
      </c>
      <c r="R19" t="e">
        <f t="shared" ca="1" si="3"/>
        <v>#NAME?</v>
      </c>
      <c r="S19" t="e">
        <f ca="1">VIF(E2:I25,2)</f>
        <v>#NAME?</v>
      </c>
      <c r="U19" s="3" t="s">
        <v>5</v>
      </c>
      <c r="V19" s="9" t="e">
        <f ca="1">V17+M19</f>
        <v>#NAME?</v>
      </c>
      <c r="W19" s="10" t="e">
        <f ca="1">W17+M22</f>
        <v>#NAME?</v>
      </c>
      <c r="X19" t="e">
        <f ca="1">V19+W19*C$27</f>
        <v>#NAME?</v>
      </c>
    </row>
    <row r="20" spans="1:24" x14ac:dyDescent="0.35">
      <c r="A20" s="3" t="s">
        <v>6</v>
      </c>
      <c r="B20" s="4">
        <v>65.8</v>
      </c>
      <c r="C20" s="3">
        <f>'ANCOVA C'!C20-'ANCOVA A'!F$7</f>
        <v>-12.375</v>
      </c>
      <c r="E20">
        <v>0</v>
      </c>
      <c r="F20">
        <v>0</v>
      </c>
      <c r="G20">
        <v>-12.375</v>
      </c>
      <c r="H20">
        <v>0</v>
      </c>
      <c r="I20">
        <v>0</v>
      </c>
      <c r="J20">
        <v>65.8</v>
      </c>
      <c r="L20" t="str">
        <v>S</v>
      </c>
      <c r="M20" t="e">
        <f ca="1"/>
        <v>#NAME?</v>
      </c>
      <c r="N20" t="e">
        <f ca="1"/>
        <v>#NAME?</v>
      </c>
      <c r="O20" t="e">
        <f t="shared" ca="1" si="0"/>
        <v>#NAME?</v>
      </c>
      <c r="P20" t="e">
        <f t="shared" ca="1" si="1"/>
        <v>#NAME?</v>
      </c>
      <c r="Q20" t="e">
        <f t="shared" ca="1" si="2"/>
        <v>#NAME?</v>
      </c>
      <c r="R20" t="e">
        <f t="shared" ca="1" si="3"/>
        <v>#NAME?</v>
      </c>
      <c r="S20" t="e">
        <f ca="1">VIF(E2:I25,3)</f>
        <v>#NAME?</v>
      </c>
    </row>
    <row r="21" spans="1:24" x14ac:dyDescent="0.35">
      <c r="A21" s="3" t="s">
        <v>6</v>
      </c>
      <c r="B21" s="4">
        <v>46.699999999999996</v>
      </c>
      <c r="C21" s="3">
        <f>'ANCOVA C'!C21-'ANCOVA A'!F$7</f>
        <v>-26.375</v>
      </c>
      <c r="E21">
        <v>0</v>
      </c>
      <c r="F21">
        <v>0</v>
      </c>
      <c r="G21">
        <v>-26.375</v>
      </c>
      <c r="H21">
        <v>0</v>
      </c>
      <c r="I21">
        <v>0</v>
      </c>
      <c r="J21">
        <v>46.699999999999996</v>
      </c>
      <c r="L21" t="str">
        <v>A.S</v>
      </c>
      <c r="M21" t="e">
        <f ca="1"/>
        <v>#NAME?</v>
      </c>
      <c r="N21" t="e">
        <f ca="1"/>
        <v>#NAME?</v>
      </c>
      <c r="O21" t="e">
        <f t="shared" ca="1" si="0"/>
        <v>#NAME?</v>
      </c>
      <c r="P21" t="e">
        <f t="shared" ca="1" si="1"/>
        <v>#NAME?</v>
      </c>
      <c r="Q21" t="e">
        <f t="shared" ca="1" si="2"/>
        <v>#NAME?</v>
      </c>
      <c r="R21" t="e">
        <f t="shared" ca="1" si="3"/>
        <v>#NAME?</v>
      </c>
      <c r="S21" t="e">
        <f ca="1">VIF(E2:I25,4)</f>
        <v>#NAME?</v>
      </c>
    </row>
    <row r="22" spans="1:24" x14ac:dyDescent="0.35">
      <c r="A22" s="3" t="s">
        <v>6</v>
      </c>
      <c r="B22" s="4">
        <v>82.7</v>
      </c>
      <c r="C22" s="3">
        <f>'ANCOVA C'!C22-'ANCOVA A'!F$7</f>
        <v>4.625</v>
      </c>
      <c r="E22">
        <v>0</v>
      </c>
      <c r="F22">
        <v>0</v>
      </c>
      <c r="G22">
        <v>4.625</v>
      </c>
      <c r="H22">
        <v>0</v>
      </c>
      <c r="I22">
        <v>0</v>
      </c>
      <c r="J22">
        <v>82.7</v>
      </c>
      <c r="L22" s="15" t="str">
        <v>B.S</v>
      </c>
      <c r="M22" s="15" t="e">
        <f ca="1"/>
        <v>#NAME?</v>
      </c>
      <c r="N22" s="15" t="e">
        <f ca="1"/>
        <v>#NAME?</v>
      </c>
      <c r="O22" s="15" t="e">
        <f t="shared" ca="1" si="0"/>
        <v>#NAME?</v>
      </c>
      <c r="P22" s="15" t="e">
        <f t="shared" ca="1" si="1"/>
        <v>#NAME?</v>
      </c>
      <c r="Q22" s="15" t="e">
        <f t="shared" ca="1" si="2"/>
        <v>#NAME?</v>
      </c>
      <c r="R22" s="15" t="e">
        <f t="shared" ca="1" si="3"/>
        <v>#NAME?</v>
      </c>
      <c r="S22" s="15" t="e">
        <f ca="1">VIF(E2:I25,5)</f>
        <v>#NAME?</v>
      </c>
    </row>
    <row r="23" spans="1:24" x14ac:dyDescent="0.35">
      <c r="A23" s="3" t="s">
        <v>6</v>
      </c>
      <c r="B23" s="4">
        <v>122.5</v>
      </c>
      <c r="C23" s="3">
        <f>'ANCOVA C'!C23-'ANCOVA A'!F$7</f>
        <v>34.625</v>
      </c>
      <c r="E23">
        <v>0</v>
      </c>
      <c r="F23">
        <v>0</v>
      </c>
      <c r="G23">
        <v>34.625</v>
      </c>
      <c r="H23">
        <v>0</v>
      </c>
      <c r="I23">
        <v>0</v>
      </c>
      <c r="J23">
        <v>122.5</v>
      </c>
    </row>
    <row r="24" spans="1:24" x14ac:dyDescent="0.35">
      <c r="A24" s="3" t="s">
        <v>6</v>
      </c>
      <c r="B24" s="4">
        <v>60.4</v>
      </c>
      <c r="C24" s="3">
        <f>'ANCOVA C'!C24-'ANCOVA A'!F$7</f>
        <v>-13.375</v>
      </c>
      <c r="E24">
        <v>0</v>
      </c>
      <c r="F24">
        <v>0</v>
      </c>
      <c r="G24">
        <v>-13.375</v>
      </c>
      <c r="H24">
        <v>0</v>
      </c>
      <c r="I24">
        <v>0</v>
      </c>
      <c r="J24">
        <v>60.4</v>
      </c>
    </row>
    <row r="25" spans="1:24" x14ac:dyDescent="0.35">
      <c r="A25" s="1" t="s">
        <v>6</v>
      </c>
      <c r="B25" s="2">
        <v>51.1</v>
      </c>
      <c r="C25" s="1">
        <f>'ANCOVA C'!C25-'ANCOVA A'!F$7</f>
        <v>-12.375</v>
      </c>
      <c r="E25" s="15">
        <v>0</v>
      </c>
      <c r="F25" s="15">
        <v>0</v>
      </c>
      <c r="G25" s="15">
        <v>-12.375</v>
      </c>
      <c r="H25" s="15">
        <v>0</v>
      </c>
      <c r="I25" s="15">
        <v>0</v>
      </c>
      <c r="J25" s="15">
        <v>51.1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ANCOVA A</vt:lpstr>
      <vt:lpstr>ANCOVA B</vt:lpstr>
      <vt:lpstr>ANCOVA C</vt:lpstr>
      <vt:lpstr>ANCOVA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2024-12-07T16:05:02Z</dcterms:created>
  <dcterms:modified xsi:type="dcterms:W3CDTF">2024-12-07T16:07:47Z</dcterms:modified>
</cp:coreProperties>
</file>