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6" documentId="8_{6C5D31C5-E14D-4AC3-A5BF-0CD026AE6536}" xr6:coauthVersionLast="47" xr6:coauthVersionMax="47" xr10:uidLastSave="{1530BDE2-C62C-4A19-BE71-DB7D07362534}"/>
  <bookViews>
    <workbookView xWindow="-110" yWindow="-110" windowWidth="19420" windowHeight="10300" xr2:uid="{0242FE12-CD9C-4266-95A8-381905C71BAD}"/>
  </bookViews>
  <sheets>
    <sheet name="Title" sheetId="2" r:id="rId1"/>
    <sheet name="ANCOVA" sheetId="3" r:id="rId2"/>
    <sheet name="Contrasts" sheetId="1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 a="1"/>
  <c r="F17" i="1" s="1"/>
  <c r="F15" i="1" a="1"/>
  <c r="F15" i="1" s="1"/>
  <c r="F11" i="1" a="1"/>
  <c r="F11" i="1" s="1"/>
  <c r="F10" i="1" a="1"/>
  <c r="F10" i="1" s="1"/>
  <c r="F9" i="1" a="1"/>
  <c r="F9" i="1" s="1"/>
  <c r="F8" i="1" a="1"/>
  <c r="F8" i="1" s="1"/>
  <c r="F7" i="1" a="1"/>
  <c r="F7" i="1" s="1"/>
  <c r="F6" i="1" a="1"/>
  <c r="F6" i="1" s="1"/>
  <c r="F5" i="1" a="1"/>
  <c r="F5" i="1" s="1"/>
  <c r="F4" i="1" a="1"/>
  <c r="F4" i="1" s="1"/>
  <c r="AB13" i="3"/>
  <c r="K66" i="3"/>
  <c r="B60" i="3"/>
  <c r="C59" i="3"/>
  <c r="C56" i="3" s="1"/>
  <c r="C60" i="3" s="1"/>
  <c r="B59" i="3"/>
  <c r="C58" i="3"/>
  <c r="B58" i="3"/>
  <c r="C57" i="3"/>
  <c r="B57" i="3"/>
  <c r="B56" i="3"/>
  <c r="C52" i="3"/>
  <c r="B52" i="3"/>
  <c r="C51" i="3"/>
  <c r="B51" i="3"/>
  <c r="D51" i="3" s="1"/>
  <c r="C50" i="3"/>
  <c r="B50" i="3"/>
  <c r="D50" i="3" s="1"/>
  <c r="C49" i="3"/>
  <c r="D49" i="3" s="1"/>
  <c r="B49" i="3"/>
  <c r="C48" i="3"/>
  <c r="B48" i="3"/>
  <c r="D48" i="3" s="1"/>
  <c r="K47" i="3"/>
  <c r="B43" i="3"/>
  <c r="B41" i="3"/>
  <c r="L49" i="3" s="1"/>
  <c r="H39" i="3"/>
  <c r="G39" i="3"/>
  <c r="F39" i="3"/>
  <c r="H38" i="3"/>
  <c r="G38" i="3"/>
  <c r="F38" i="3"/>
  <c r="H37" i="3"/>
  <c r="G37" i="3"/>
  <c r="F37" i="3"/>
  <c r="H36" i="3"/>
  <c r="G36" i="3"/>
  <c r="F36" i="3"/>
  <c r="L35" i="3"/>
  <c r="K35" i="3"/>
  <c r="H35" i="3"/>
  <c r="G35" i="3"/>
  <c r="F35" i="3"/>
  <c r="L34" i="3"/>
  <c r="M34" i="3" s="1"/>
  <c r="K34" i="3"/>
  <c r="K41" i="3" s="1"/>
  <c r="H34" i="3"/>
  <c r="G34" i="3"/>
  <c r="F34" i="3"/>
  <c r="L33" i="3"/>
  <c r="K56" i="3" s="1"/>
  <c r="K33" i="3"/>
  <c r="K40" i="3" s="1"/>
  <c r="K42" i="3" s="1"/>
  <c r="H33" i="3"/>
  <c r="G33" i="3"/>
  <c r="F33" i="3"/>
  <c r="L32" i="3"/>
  <c r="K62" i="3" s="1"/>
  <c r="K32" i="3"/>
  <c r="H32" i="3"/>
  <c r="G32" i="3"/>
  <c r="F32" i="3"/>
  <c r="H31" i="3"/>
  <c r="G31" i="3"/>
  <c r="F31" i="3"/>
  <c r="H30" i="3"/>
  <c r="G30" i="3"/>
  <c r="F30" i="3"/>
  <c r="H29" i="3"/>
  <c r="G29" i="3"/>
  <c r="F29" i="3"/>
  <c r="H28" i="3"/>
  <c r="G28" i="3"/>
  <c r="F28" i="3"/>
  <c r="H27" i="3"/>
  <c r="G27" i="3"/>
  <c r="F27" i="3"/>
  <c r="H26" i="3"/>
  <c r="G26" i="3"/>
  <c r="F26" i="3"/>
  <c r="H25" i="3"/>
  <c r="G25" i="3"/>
  <c r="F25" i="3"/>
  <c r="H24" i="3"/>
  <c r="G24" i="3"/>
  <c r="F24" i="3"/>
  <c r="H23" i="3"/>
  <c r="G23" i="3"/>
  <c r="F23" i="3"/>
  <c r="H22" i="3"/>
  <c r="G22" i="3"/>
  <c r="F22" i="3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H10" i="3"/>
  <c r="G10" i="3"/>
  <c r="F10" i="3"/>
  <c r="H9" i="3"/>
  <c r="G9" i="3"/>
  <c r="F9" i="3"/>
  <c r="H8" i="3"/>
  <c r="G8" i="3"/>
  <c r="F8" i="3"/>
  <c r="AB7" i="3"/>
  <c r="AA7" i="3"/>
  <c r="Z7" i="3"/>
  <c r="H7" i="3"/>
  <c r="G7" i="3"/>
  <c r="F7" i="3"/>
  <c r="AA6" i="3"/>
  <c r="Z6" i="3"/>
  <c r="AB6" i="3" s="1"/>
  <c r="AB8" i="3" s="1"/>
  <c r="AB10" i="3" s="1"/>
  <c r="AB11" i="3" s="1"/>
  <c r="H6" i="3"/>
  <c r="G6" i="3"/>
  <c r="F6" i="3"/>
  <c r="H5" i="3"/>
  <c r="G5" i="3"/>
  <c r="F5" i="3"/>
  <c r="H4" i="3"/>
  <c r="G4" i="3"/>
  <c r="F4" i="3"/>
  <c r="D52" i="3" l="1"/>
  <c r="K57" i="3"/>
  <c r="L41" i="3"/>
  <c r="M41" i="3" s="1"/>
  <c r="K48" i="3"/>
  <c r="K49" i="3" s="1"/>
  <c r="L48" i="3"/>
  <c r="M48" i="3" s="1"/>
  <c r="M33" i="3"/>
  <c r="N33" i="3" s="1"/>
  <c r="O33" i="3" s="1"/>
  <c r="L42" i="3"/>
  <c r="K61" i="3"/>
  <c r="M32" i="3"/>
  <c r="N32" i="3" s="1"/>
  <c r="O32" i="3" s="1"/>
  <c r="L40" i="3"/>
  <c r="M40" i="3" s="1"/>
  <c r="N40" i="3" s="1"/>
  <c r="O40" i="3" s="1"/>
  <c r="L47" i="3" l="1"/>
  <c r="M47" i="3" s="1"/>
  <c r="N47" i="3" s="1"/>
  <c r="O47" i="3" s="1"/>
  <c r="D14" i="1" l="1"/>
  <c r="D11" i="1"/>
  <c r="D8" i="1"/>
  <c r="D7" i="1"/>
  <c r="C6" i="1"/>
  <c r="B6" i="1"/>
  <c r="D6" i="1" s="1"/>
  <c r="C5" i="1"/>
  <c r="B5" i="1"/>
  <c r="D5" i="1" s="1"/>
  <c r="D4" i="1"/>
  <c r="C4" i="1"/>
  <c r="B4" i="1"/>
  <c r="D9" i="1" l="1"/>
  <c r="D10" i="1" s="1"/>
  <c r="D17" i="1" l="1"/>
  <c r="D13" i="1"/>
  <c r="D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<sst xmlns="http://schemas.openxmlformats.org/spreadsheetml/2006/main" count="228" uniqueCount="93">
  <si>
    <t>ANCOVA Contrasts</t>
  </si>
  <si>
    <t>Method 2</t>
  </si>
  <si>
    <t>Method 4</t>
  </si>
  <si>
    <t>Mean y (adj)</t>
  </si>
  <si>
    <t>Mean x</t>
  </si>
  <si>
    <t>Sample Size</t>
  </si>
  <si>
    <t>MS Res(y,x,t)</t>
  </si>
  <si>
    <t>SS Res(x,t)</t>
  </si>
  <si>
    <t>s.e.</t>
  </si>
  <si>
    <t>t</t>
  </si>
  <si>
    <t>df</t>
  </si>
  <si>
    <t>α</t>
  </si>
  <si>
    <t>p-value</t>
  </si>
  <si>
    <t>=T.DIST.2T(D10,D11)</t>
  </si>
  <si>
    <t>t-crit</t>
  </si>
  <si>
    <t>=T.INV.2T(D12,D11)</t>
  </si>
  <si>
    <t>sig</t>
  </si>
  <si>
    <t>Effect size r</t>
  </si>
  <si>
    <t>Real Statistics Using Excel</t>
  </si>
  <si>
    <t>Updated</t>
  </si>
  <si>
    <t>Copyright © 2013 - 2024 Charles Zaiontz</t>
  </si>
  <si>
    <t>Contrasts for ANCOVA</t>
  </si>
  <si>
    <t>ANCOVA - Regression Approach</t>
  </si>
  <si>
    <t>y</t>
  </si>
  <si>
    <t>x</t>
  </si>
  <si>
    <t>t1</t>
  </si>
  <si>
    <t>t2</t>
  </si>
  <si>
    <t>t3</t>
  </si>
  <si>
    <t>x*t1</t>
  </si>
  <si>
    <t>x*t2</t>
  </si>
  <si>
    <t>x*t3</t>
  </si>
  <si>
    <t>Creation of ANCOVA models</t>
  </si>
  <si>
    <t>SUMMARY OUTPUT (Complete model - y, x, t, x*t)</t>
  </si>
  <si>
    <t>Test for homogeneity of regression slopes</t>
  </si>
  <si>
    <t>ANOVA (Full model - y, x, t)</t>
  </si>
  <si>
    <t>Regression Statistics</t>
  </si>
  <si>
    <t>complete</t>
  </si>
  <si>
    <t>reduced</t>
  </si>
  <si>
    <t>difference</t>
  </si>
  <si>
    <t>SS</t>
  </si>
  <si>
    <t>MS</t>
  </si>
  <si>
    <t>F</t>
  </si>
  <si>
    <t>Significance F</t>
  </si>
  <si>
    <t>Multiple R</t>
  </si>
  <si>
    <t>R-Square</t>
  </si>
  <si>
    <t>Regression</t>
  </si>
  <si>
    <t>R Square</t>
  </si>
  <si>
    <t>dfE</t>
  </si>
  <si>
    <t>Residual</t>
  </si>
  <si>
    <t>Adjusted R Square</t>
  </si>
  <si>
    <t>Total</t>
  </si>
  <si>
    <t>Standard Error</t>
  </si>
  <si>
    <t>Observations</t>
  </si>
  <si>
    <t>ANOVA (Reduced model - x, t)</t>
  </si>
  <si>
    <t>ANOVA</t>
  </si>
  <si>
    <t>Test using RSquareTest</t>
  </si>
  <si>
    <t>ANOVA (Reduced model - y, t)</t>
  </si>
  <si>
    <t>SUMMARY OUTPUT (Full model - y, x, t)</t>
  </si>
  <si>
    <t>ANOVA (Reduced model - y, x)</t>
  </si>
  <si>
    <t>ANCOVA</t>
  </si>
  <si>
    <t>Source of Variation</t>
  </si>
  <si>
    <t>Covariate</t>
  </si>
  <si>
    <t>Treatment (adj)</t>
  </si>
  <si>
    <t>Coefficients</t>
  </si>
  <si>
    <t>t Stat</t>
  </si>
  <si>
    <t>P-value</t>
  </si>
  <si>
    <t>Lower 95%</t>
  </si>
  <si>
    <t>Upper 95%</t>
  </si>
  <si>
    <t>Intercept</t>
  </si>
  <si>
    <t>ANCOVA (Reduced)</t>
  </si>
  <si>
    <t>Regression (adj)</t>
  </si>
  <si>
    <r>
      <t>SS</t>
    </r>
    <r>
      <rPr>
        <vertAlign val="subscript"/>
        <sz val="11"/>
        <color theme="1"/>
        <rFont val="Aptos Narrow"/>
        <family val="2"/>
        <scheme val="minor"/>
      </rPr>
      <t xml:space="preserve">T </t>
    </r>
    <r>
      <rPr>
        <sz val="11"/>
        <color theme="1"/>
        <rFont val="Aptos Narrow"/>
        <family val="2"/>
        <scheme val="minor"/>
      </rPr>
      <t>(for X)</t>
    </r>
  </si>
  <si>
    <t>Total (adj)</t>
  </si>
  <si>
    <t>SUMMARY OUTPUT (Reduced model - x, t)</t>
  </si>
  <si>
    <r>
      <t>b</t>
    </r>
    <r>
      <rPr>
        <vertAlign val="subscript"/>
        <sz val="11"/>
        <color theme="1"/>
        <rFont val="Aptos Narrow"/>
        <family val="2"/>
        <scheme val="minor"/>
      </rPr>
      <t>T</t>
    </r>
  </si>
  <si>
    <t>Adjusted means</t>
  </si>
  <si>
    <t>ANCOVA (Reduced) - using slope</t>
  </si>
  <si>
    <t>Group</t>
  </si>
  <si>
    <t>Y</t>
  </si>
  <si>
    <t>X</t>
  </si>
  <si>
    <t>Y (adj)</t>
  </si>
  <si>
    <t>Method 1</t>
  </si>
  <si>
    <t>Method 3</t>
  </si>
  <si>
    <t xml:space="preserve">Effect sizes </t>
  </si>
  <si>
    <t>Effect size - treatment</t>
  </si>
  <si>
    <t xml:space="preserve"> Y (adj)</t>
  </si>
  <si>
    <t>eta-squared</t>
  </si>
  <si>
    <t>partial eta-squared</t>
  </si>
  <si>
    <t>SUMMARY OUTPUT (Reduced model - y, t)</t>
  </si>
  <si>
    <t>Effect size - covariate</t>
  </si>
  <si>
    <t>Effect size - covariate (from regression coefficients)</t>
  </si>
  <si>
    <t>r</t>
  </si>
  <si>
    <t>SUMMARY OUTPUT (Reduced model - y, 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</si>
</sst>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quotePrefix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/>
    <xf numFmtId="0" fontId="0" fillId="0" borderId="10" xfId="0" applyBorder="1" applyAlignment="1">
      <alignment horizontal="right"/>
    </xf>
    <xf numFmtId="0" fontId="0" fillId="0" borderId="11" xfId="0" applyBorder="1"/>
    <xf numFmtId="15" fontId="0" fillId="0" borderId="0" xfId="0" applyNumberFormat="1"/>
    <xf numFmtId="0" fontId="3" fillId="0" borderId="0" xfId="0" applyFont="1"/>
    <xf numFmtId="0" fontId="0" fillId="0" borderId="12" xfId="0" applyBorder="1" applyAlignment="1">
      <alignment horizontal="right"/>
    </xf>
    <xf numFmtId="0" fontId="4" fillId="0" borderId="13" xfId="0" applyFont="1" applyBorder="1" applyAlignment="1">
      <alignment horizontal="centerContinuous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/>
    <xf numFmtId="0" fontId="0" fillId="0" borderId="1" xfId="0" applyBorder="1"/>
    <xf numFmtId="0" fontId="0" fillId="0" borderId="15" xfId="0" applyBorder="1"/>
    <xf numFmtId="164" fontId="0" fillId="0" borderId="0" xfId="0" applyNumberFormat="1"/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%20Detailed/ANCOVA.xlsx" TargetMode="External"/><Relationship Id="rId1" Type="http://schemas.openxmlformats.org/officeDocument/2006/relationships/externalLinkPath" Target="ANCO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COVA 1"/>
      <sheetName val="ANCOVA 2"/>
      <sheetName val="ANCOVA 3"/>
      <sheetName val="ANCOVA 4"/>
      <sheetName val="ANCOVA Contrasts"/>
      <sheetName val="ANCOVA Tukey"/>
      <sheetName val="ANCOVA Std"/>
      <sheetName val="ANCOVA Std 1"/>
      <sheetName val="ANCOVA A"/>
      <sheetName val="ANCOVA B"/>
      <sheetName val="ANCOVA C"/>
      <sheetName val="ANCOVA D"/>
      <sheetName val="ANCOVA E"/>
      <sheetName val="ANCOVA F"/>
      <sheetName val="ANCOVA G"/>
      <sheetName val="ANCOVA H"/>
      <sheetName val="Sheet1"/>
    </sheetNames>
    <sheetDataSet>
      <sheetData sheetId="0">
        <row r="6">
          <cell r="C6">
            <v>45</v>
          </cell>
          <cell r="E6">
            <v>12</v>
          </cell>
        </row>
        <row r="7">
          <cell r="C7">
            <v>37</v>
          </cell>
          <cell r="E7">
            <v>10</v>
          </cell>
        </row>
        <row r="8">
          <cell r="C8">
            <v>13</v>
          </cell>
          <cell r="E8">
            <v>19</v>
          </cell>
        </row>
        <row r="9">
          <cell r="C9">
            <v>50</v>
          </cell>
          <cell r="E9">
            <v>18</v>
          </cell>
        </row>
        <row r="10">
          <cell r="C10">
            <v>35</v>
          </cell>
          <cell r="E10">
            <v>14</v>
          </cell>
        </row>
        <row r="11">
          <cell r="C11">
            <v>40</v>
          </cell>
          <cell r="E11">
            <v>8</v>
          </cell>
        </row>
        <row r="12">
          <cell r="C12">
            <v>33</v>
          </cell>
          <cell r="E12">
            <v>7</v>
          </cell>
        </row>
        <row r="13">
          <cell r="C13">
            <v>17</v>
          </cell>
          <cell r="E13">
            <v>19</v>
          </cell>
        </row>
        <row r="14">
          <cell r="E14">
            <v>25</v>
          </cell>
        </row>
        <row r="15">
          <cell r="E15">
            <v>26</v>
          </cell>
        </row>
        <row r="16">
          <cell r="H16">
            <v>60.262500000000003</v>
          </cell>
          <cell r="J16">
            <v>40.129999999999995</v>
          </cell>
        </row>
      </sheetData>
      <sheetData sheetId="1">
        <row r="8">
          <cell r="K8">
            <v>31</v>
          </cell>
          <cell r="M8">
            <v>57.049106859319657</v>
          </cell>
        </row>
        <row r="14">
          <cell r="L14">
            <v>16133.552500000002</v>
          </cell>
        </row>
        <row r="57">
          <cell r="C57">
            <v>30.053840521389958</v>
          </cell>
        </row>
        <row r="59">
          <cell r="C59">
            <v>18.597272845501461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51D14-8C5E-4B5B-84D4-7D1FEA2B8CA5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18</v>
      </c>
    </row>
    <row r="2" spans="1:2" x14ac:dyDescent="0.35">
      <c r="A2" t="s">
        <v>21</v>
      </c>
    </row>
    <row r="4" spans="1:2" x14ac:dyDescent="0.35">
      <c r="A4" t="s">
        <v>19</v>
      </c>
      <c r="B4" s="16">
        <v>45614</v>
      </c>
    </row>
    <row r="6" spans="1:2" x14ac:dyDescent="0.35">
      <c r="A6" s="17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13577-D8F6-48F4-BEC7-9710BF6260A7}">
  <sheetPr codeName="Sheet186"/>
  <dimension ref="A1:AB87"/>
  <sheetViews>
    <sheetView zoomScaleNormal="100" workbookViewId="0"/>
  </sheetViews>
  <sheetFormatPr defaultRowHeight="14.5" x14ac:dyDescent="0.35"/>
  <cols>
    <col min="10" max="10" width="18.453125" customWidth="1"/>
    <col min="15" max="15" width="13" customWidth="1"/>
    <col min="18" max="18" width="17.7265625" customWidth="1"/>
    <col min="19" max="19" width="11.7265625" customWidth="1"/>
    <col min="20" max="20" width="13.1796875" customWidth="1"/>
    <col min="21" max="22" width="11.54296875" customWidth="1"/>
    <col min="23" max="23" width="12.7265625" customWidth="1"/>
    <col min="24" max="24" width="8.54296875" customWidth="1"/>
    <col min="28" max="28" width="10.26953125" customWidth="1"/>
  </cols>
  <sheetData>
    <row r="1" spans="1:28" x14ac:dyDescent="0.35">
      <c r="A1" s="1" t="s">
        <v>22</v>
      </c>
    </row>
    <row r="3" spans="1:28" x14ac:dyDescent="0.35">
      <c r="A3" s="18" t="s">
        <v>23</v>
      </c>
      <c r="B3" s="18" t="s">
        <v>24</v>
      </c>
      <c r="C3" s="18" t="s">
        <v>25</v>
      </c>
      <c r="D3" s="18" t="s">
        <v>26</v>
      </c>
      <c r="E3" s="18" t="s">
        <v>27</v>
      </c>
      <c r="F3" s="18" t="s">
        <v>28</v>
      </c>
      <c r="G3" s="18" t="s">
        <v>29</v>
      </c>
      <c r="H3" s="18" t="s">
        <v>30</v>
      </c>
      <c r="J3" s="1" t="s">
        <v>31</v>
      </c>
      <c r="R3" t="s">
        <v>32</v>
      </c>
      <c r="Y3" s="1" t="s">
        <v>33</v>
      </c>
    </row>
    <row r="4" spans="1:28" ht="15" thickBot="1" x14ac:dyDescent="0.4">
      <c r="A4">
        <v>12</v>
      </c>
      <c r="B4">
        <v>17.5</v>
      </c>
      <c r="C4">
        <v>1</v>
      </c>
      <c r="D4">
        <v>0</v>
      </c>
      <c r="E4">
        <v>0</v>
      </c>
      <c r="F4">
        <f t="shared" ref="F4:H39" si="0">$B4*C4</f>
        <v>17.5</v>
      </c>
      <c r="G4">
        <f t="shared" si="0"/>
        <v>0</v>
      </c>
      <c r="H4">
        <f t="shared" si="0"/>
        <v>0</v>
      </c>
    </row>
    <row r="5" spans="1:28" ht="15" thickBot="1" x14ac:dyDescent="0.4">
      <c r="A5">
        <v>39</v>
      </c>
      <c r="B5">
        <v>104.60000000000001</v>
      </c>
      <c r="C5">
        <v>1</v>
      </c>
      <c r="D5">
        <v>0</v>
      </c>
      <c r="E5">
        <v>0</v>
      </c>
      <c r="F5">
        <f t="shared" si="0"/>
        <v>104.60000000000001</v>
      </c>
      <c r="G5">
        <f t="shared" si="0"/>
        <v>0</v>
      </c>
      <c r="H5">
        <f t="shared" si="0"/>
        <v>0</v>
      </c>
      <c r="J5" t="s">
        <v>34</v>
      </c>
      <c r="R5" s="19" t="s">
        <v>35</v>
      </c>
      <c r="S5" s="19"/>
      <c r="Z5" s="20" t="s">
        <v>36</v>
      </c>
      <c r="AA5" s="20" t="s">
        <v>37</v>
      </c>
      <c r="AB5" s="20" t="s">
        <v>38</v>
      </c>
    </row>
    <row r="6" spans="1:28" x14ac:dyDescent="0.35">
      <c r="A6">
        <v>36</v>
      </c>
      <c r="B6">
        <v>64.7</v>
      </c>
      <c r="C6">
        <v>1</v>
      </c>
      <c r="D6">
        <v>0</v>
      </c>
      <c r="E6">
        <v>0</v>
      </c>
      <c r="F6">
        <f t="shared" si="0"/>
        <v>64.7</v>
      </c>
      <c r="G6">
        <f t="shared" si="0"/>
        <v>0</v>
      </c>
      <c r="H6">
        <f t="shared" si="0"/>
        <v>0</v>
      </c>
      <c r="J6" s="21"/>
      <c r="K6" s="21" t="s">
        <v>10</v>
      </c>
      <c r="L6" s="21" t="s">
        <v>39</v>
      </c>
      <c r="M6" s="21" t="s">
        <v>40</v>
      </c>
      <c r="N6" s="21" t="s">
        <v>41</v>
      </c>
      <c r="O6" s="21" t="s">
        <v>42</v>
      </c>
      <c r="R6" t="s">
        <v>43</v>
      </c>
      <c r="S6">
        <v>0.81879231765840588</v>
      </c>
      <c r="Y6" s="22" t="s">
        <v>44</v>
      </c>
      <c r="Z6" s="3">
        <f>S7</f>
        <v>0.67042085945642382</v>
      </c>
      <c r="AA6" s="23">
        <f>S23</f>
        <v>0.63921615672529453</v>
      </c>
      <c r="AB6" s="5">
        <f>Z6-AA6</f>
        <v>3.1204702731129297E-2</v>
      </c>
    </row>
    <row r="7" spans="1:28" x14ac:dyDescent="0.35">
      <c r="A7">
        <v>17</v>
      </c>
      <c r="B7">
        <v>47</v>
      </c>
      <c r="C7">
        <v>1</v>
      </c>
      <c r="D7">
        <v>0</v>
      </c>
      <c r="E7">
        <v>0</v>
      </c>
      <c r="F7">
        <f t="shared" si="0"/>
        <v>47</v>
      </c>
      <c r="G7">
        <f t="shared" si="0"/>
        <v>0</v>
      </c>
      <c r="H7">
        <f t="shared" si="0"/>
        <v>0</v>
      </c>
      <c r="J7" t="s">
        <v>45</v>
      </c>
      <c r="K7">
        <v>4</v>
      </c>
      <c r="L7">
        <v>3133.3665762499804</v>
      </c>
      <c r="M7">
        <v>783.34164406249511</v>
      </c>
      <c r="N7">
        <v>13.731006271389626</v>
      </c>
      <c r="O7">
        <v>1.4964731310688181E-6</v>
      </c>
      <c r="R7" t="s">
        <v>46</v>
      </c>
      <c r="S7">
        <v>0.67042085945642382</v>
      </c>
      <c r="Y7" t="s">
        <v>47</v>
      </c>
      <c r="Z7" s="10">
        <f>S15</f>
        <v>28</v>
      </c>
      <c r="AA7" s="24">
        <f>S31</f>
        <v>31</v>
      </c>
      <c r="AB7" s="12">
        <f>AA7-Z7</f>
        <v>3</v>
      </c>
    </row>
    <row r="8" spans="1:28" x14ac:dyDescent="0.35">
      <c r="A8">
        <v>25</v>
      </c>
      <c r="B8">
        <v>22</v>
      </c>
      <c r="C8">
        <v>1</v>
      </c>
      <c r="D8">
        <v>0</v>
      </c>
      <c r="E8">
        <v>0</v>
      </c>
      <c r="F8">
        <f t="shared" si="0"/>
        <v>22</v>
      </c>
      <c r="G8">
        <f t="shared" si="0"/>
        <v>0</v>
      </c>
      <c r="H8">
        <f t="shared" si="0"/>
        <v>0</v>
      </c>
      <c r="J8" t="s">
        <v>48</v>
      </c>
      <c r="K8">
        <v>31</v>
      </c>
      <c r="L8">
        <v>1768.5223126389094</v>
      </c>
      <c r="M8">
        <v>57.049106859319657</v>
      </c>
      <c r="R8" t="s">
        <v>49</v>
      </c>
      <c r="S8">
        <v>0.58802607432052978</v>
      </c>
      <c r="Y8" t="s">
        <v>41</v>
      </c>
      <c r="AB8" s="9">
        <f>AB6*Z7/(AB7*(1-Z6))</f>
        <v>0.88368423947236796</v>
      </c>
    </row>
    <row r="9" spans="1:28" ht="15" thickBot="1" x14ac:dyDescent="0.4">
      <c r="A9">
        <v>15</v>
      </c>
      <c r="B9">
        <v>12.4</v>
      </c>
      <c r="C9">
        <v>1</v>
      </c>
      <c r="D9">
        <v>0</v>
      </c>
      <c r="E9">
        <v>0</v>
      </c>
      <c r="F9">
        <f t="shared" si="0"/>
        <v>12.4</v>
      </c>
      <c r="G9">
        <f t="shared" si="0"/>
        <v>0</v>
      </c>
      <c r="H9">
        <f t="shared" si="0"/>
        <v>0</v>
      </c>
      <c r="J9" s="25" t="s">
        <v>50</v>
      </c>
      <c r="K9" s="25">
        <v>35</v>
      </c>
      <c r="L9" s="25">
        <v>4901.8888888888896</v>
      </c>
      <c r="M9" s="25"/>
      <c r="N9" s="25"/>
      <c r="O9" s="25"/>
      <c r="R9" t="s">
        <v>51</v>
      </c>
      <c r="S9">
        <v>7.5959583403659607</v>
      </c>
      <c r="Y9" s="13" t="s">
        <v>11</v>
      </c>
      <c r="AB9" s="9">
        <v>0.05</v>
      </c>
    </row>
    <row r="10" spans="1:28" ht="15" thickBot="1" x14ac:dyDescent="0.4">
      <c r="A10">
        <v>8</v>
      </c>
      <c r="B10">
        <v>20</v>
      </c>
      <c r="C10">
        <v>1</v>
      </c>
      <c r="D10">
        <v>0</v>
      </c>
      <c r="E10">
        <v>0</v>
      </c>
      <c r="F10">
        <f t="shared" si="0"/>
        <v>20</v>
      </c>
      <c r="G10">
        <f t="shared" si="0"/>
        <v>0</v>
      </c>
      <c r="H10">
        <f t="shared" si="0"/>
        <v>0</v>
      </c>
      <c r="R10" s="25" t="s">
        <v>52</v>
      </c>
      <c r="S10" s="25">
        <v>36</v>
      </c>
      <c r="Y10" s="22" t="s">
        <v>12</v>
      </c>
      <c r="AB10" s="9">
        <f>FDIST(AB8,AB7,Z7)</f>
        <v>0.46150436492324942</v>
      </c>
    </row>
    <row r="11" spans="1:28" ht="15" thickBot="1" x14ac:dyDescent="0.4">
      <c r="A11">
        <v>31</v>
      </c>
      <c r="B11">
        <v>79.7</v>
      </c>
      <c r="C11">
        <v>1</v>
      </c>
      <c r="D11">
        <v>0</v>
      </c>
      <c r="E11">
        <v>0</v>
      </c>
      <c r="F11">
        <f t="shared" si="0"/>
        <v>79.7</v>
      </c>
      <c r="G11">
        <f t="shared" si="0"/>
        <v>0</v>
      </c>
      <c r="H11">
        <f t="shared" si="0"/>
        <v>0</v>
      </c>
      <c r="J11" t="s">
        <v>53</v>
      </c>
      <c r="Y11" s="13" t="s">
        <v>16</v>
      </c>
      <c r="AB11" s="14" t="str">
        <f>IF(AB10&lt;AB9,"yes","no")</f>
        <v>no</v>
      </c>
    </row>
    <row r="12" spans="1:28" ht="15" thickBot="1" x14ac:dyDescent="0.4">
      <c r="A12">
        <v>45</v>
      </c>
      <c r="B12">
        <v>70.8</v>
      </c>
      <c r="C12">
        <v>0</v>
      </c>
      <c r="D12">
        <v>1</v>
      </c>
      <c r="E12">
        <v>0</v>
      </c>
      <c r="F12">
        <f t="shared" si="0"/>
        <v>0</v>
      </c>
      <c r="G12">
        <f t="shared" si="0"/>
        <v>70.8</v>
      </c>
      <c r="H12">
        <f t="shared" si="0"/>
        <v>0</v>
      </c>
      <c r="J12" s="21"/>
      <c r="K12" s="21" t="s">
        <v>10</v>
      </c>
      <c r="L12" s="21" t="s">
        <v>39</v>
      </c>
      <c r="M12" s="21" t="s">
        <v>40</v>
      </c>
      <c r="N12" s="21" t="s">
        <v>41</v>
      </c>
      <c r="O12" s="21" t="s">
        <v>42</v>
      </c>
      <c r="R12" t="s">
        <v>54</v>
      </c>
    </row>
    <row r="13" spans="1:28" x14ac:dyDescent="0.35">
      <c r="A13">
        <v>37</v>
      </c>
      <c r="B13">
        <v>45.9</v>
      </c>
      <c r="C13">
        <v>0</v>
      </c>
      <c r="D13">
        <v>1</v>
      </c>
      <c r="E13">
        <v>0</v>
      </c>
      <c r="F13">
        <f t="shared" si="0"/>
        <v>0</v>
      </c>
      <c r="G13">
        <f t="shared" si="0"/>
        <v>45.9</v>
      </c>
      <c r="H13">
        <f t="shared" si="0"/>
        <v>0</v>
      </c>
      <c r="J13" t="s">
        <v>45</v>
      </c>
      <c r="K13">
        <v>3</v>
      </c>
      <c r="L13">
        <v>1897.0572222222254</v>
      </c>
      <c r="M13">
        <v>632.35240740740846</v>
      </c>
      <c r="N13">
        <v>1.2542356704784683</v>
      </c>
      <c r="O13">
        <v>0.30655018520822414</v>
      </c>
      <c r="R13" s="21"/>
      <c r="S13" s="21" t="s">
        <v>10</v>
      </c>
      <c r="T13" s="21" t="s">
        <v>39</v>
      </c>
      <c r="U13" s="21" t="s">
        <v>40</v>
      </c>
      <c r="V13" s="21" t="s">
        <v>41</v>
      </c>
      <c r="W13" s="21" t="s">
        <v>42</v>
      </c>
      <c r="Y13" s="22" t="s">
        <v>55</v>
      </c>
      <c r="AB13" s="15" t="e">
        <f ca="1">RSquareTest(B4:H39,B4:E39,A4:A39)</f>
        <v>#NAME?</v>
      </c>
    </row>
    <row r="14" spans="1:28" x14ac:dyDescent="0.35">
      <c r="A14">
        <v>13</v>
      </c>
      <c r="B14">
        <v>47.5</v>
      </c>
      <c r="C14">
        <v>0</v>
      </c>
      <c r="D14">
        <v>1</v>
      </c>
      <c r="E14">
        <v>0</v>
      </c>
      <c r="F14">
        <f t="shared" si="0"/>
        <v>0</v>
      </c>
      <c r="G14">
        <f t="shared" si="0"/>
        <v>47.5</v>
      </c>
      <c r="H14">
        <f t="shared" si="0"/>
        <v>0</v>
      </c>
      <c r="J14" t="s">
        <v>48</v>
      </c>
      <c r="K14">
        <v>32</v>
      </c>
      <c r="L14">
        <v>16133.552500000002</v>
      </c>
      <c r="M14">
        <v>504.17351562500005</v>
      </c>
      <c r="R14" t="s">
        <v>45</v>
      </c>
      <c r="S14">
        <v>7</v>
      </c>
      <c r="T14">
        <v>3286.3285618487839</v>
      </c>
      <c r="U14">
        <v>469.47550883554055</v>
      </c>
      <c r="V14">
        <v>8.1366904270785607</v>
      </c>
      <c r="W14">
        <v>2.1072042596181117E-5</v>
      </c>
    </row>
    <row r="15" spans="1:28" ht="15" thickBot="1" x14ac:dyDescent="0.4">
      <c r="A15">
        <v>50</v>
      </c>
      <c r="B15">
        <v>77.8</v>
      </c>
      <c r="C15">
        <v>0</v>
      </c>
      <c r="D15">
        <v>1</v>
      </c>
      <c r="E15">
        <v>0</v>
      </c>
      <c r="F15">
        <f t="shared" si="0"/>
        <v>0</v>
      </c>
      <c r="G15">
        <f t="shared" si="0"/>
        <v>77.8</v>
      </c>
      <c r="H15">
        <f t="shared" si="0"/>
        <v>0</v>
      </c>
      <c r="J15" s="25" t="s">
        <v>50</v>
      </c>
      <c r="K15" s="25">
        <v>35</v>
      </c>
      <c r="L15" s="25">
        <v>18030.609722222227</v>
      </c>
      <c r="M15" s="25"/>
      <c r="N15" s="25"/>
      <c r="O15" s="25"/>
      <c r="R15" t="s">
        <v>48</v>
      </c>
      <c r="S15">
        <v>28</v>
      </c>
      <c r="T15">
        <v>1615.5603270401057</v>
      </c>
      <c r="U15">
        <v>57.6985831085752</v>
      </c>
    </row>
    <row r="16" spans="1:28" ht="15" thickBot="1" x14ac:dyDescent="0.4">
      <c r="A16">
        <v>35</v>
      </c>
      <c r="B16">
        <v>70.900000000000006</v>
      </c>
      <c r="C16">
        <v>0</v>
      </c>
      <c r="D16">
        <v>1</v>
      </c>
      <c r="E16">
        <v>0</v>
      </c>
      <c r="F16">
        <f t="shared" si="0"/>
        <v>0</v>
      </c>
      <c r="G16">
        <f t="shared" si="0"/>
        <v>70.900000000000006</v>
      </c>
      <c r="H16">
        <f t="shared" si="0"/>
        <v>0</v>
      </c>
      <c r="R16" s="25" t="s">
        <v>50</v>
      </c>
      <c r="S16" s="25">
        <v>35</v>
      </c>
      <c r="T16" s="25">
        <v>4901.8888888888896</v>
      </c>
      <c r="U16" s="25"/>
      <c r="V16" s="25"/>
      <c r="W16" s="25"/>
    </row>
    <row r="17" spans="1:23" ht="15" thickBot="1" x14ac:dyDescent="0.4">
      <c r="A17">
        <v>40</v>
      </c>
      <c r="B17">
        <v>84.8</v>
      </c>
      <c r="C17">
        <v>0</v>
      </c>
      <c r="D17">
        <v>1</v>
      </c>
      <c r="E17">
        <v>0</v>
      </c>
      <c r="F17">
        <f t="shared" si="0"/>
        <v>0</v>
      </c>
      <c r="G17">
        <f t="shared" si="0"/>
        <v>84.8</v>
      </c>
      <c r="H17">
        <f t="shared" si="0"/>
        <v>0</v>
      </c>
      <c r="J17" t="s">
        <v>56</v>
      </c>
    </row>
    <row r="18" spans="1:23" x14ac:dyDescent="0.35">
      <c r="A18">
        <v>33</v>
      </c>
      <c r="B18">
        <v>49.8</v>
      </c>
      <c r="C18">
        <v>0</v>
      </c>
      <c r="D18">
        <v>1</v>
      </c>
      <c r="E18">
        <v>0</v>
      </c>
      <c r="F18">
        <f t="shared" si="0"/>
        <v>0</v>
      </c>
      <c r="G18">
        <f t="shared" si="0"/>
        <v>49.8</v>
      </c>
      <c r="H18">
        <f t="shared" si="0"/>
        <v>0</v>
      </c>
      <c r="J18" s="21"/>
      <c r="K18" s="21" t="s">
        <v>10</v>
      </c>
      <c r="L18" s="21" t="s">
        <v>39</v>
      </c>
      <c r="M18" s="21" t="s">
        <v>40</v>
      </c>
      <c r="N18" s="21" t="s">
        <v>41</v>
      </c>
      <c r="O18" s="21" t="s">
        <v>42</v>
      </c>
    </row>
    <row r="19" spans="1:23" x14ac:dyDescent="0.35">
      <c r="A19">
        <v>17</v>
      </c>
      <c r="B19">
        <v>34.599999999999994</v>
      </c>
      <c r="C19">
        <v>0</v>
      </c>
      <c r="D19">
        <v>1</v>
      </c>
      <c r="E19">
        <v>0</v>
      </c>
      <c r="F19">
        <f t="shared" si="0"/>
        <v>0</v>
      </c>
      <c r="G19">
        <f t="shared" si="0"/>
        <v>34.599999999999994</v>
      </c>
      <c r="H19">
        <f t="shared" si="0"/>
        <v>0</v>
      </c>
      <c r="J19" t="s">
        <v>45</v>
      </c>
      <c r="K19">
        <v>3</v>
      </c>
      <c r="L19">
        <v>1455.0138888888901</v>
      </c>
      <c r="M19">
        <v>485.00462962963002</v>
      </c>
      <c r="N19">
        <v>4.5026721735334654</v>
      </c>
      <c r="O19">
        <v>9.5805875705777723E-3</v>
      </c>
      <c r="R19" t="s">
        <v>57</v>
      </c>
    </row>
    <row r="20" spans="1:23" ht="15" thickBot="1" x14ac:dyDescent="0.4">
      <c r="A20">
        <v>20</v>
      </c>
      <c r="B20">
        <v>71.400000000000006</v>
      </c>
      <c r="C20">
        <v>0</v>
      </c>
      <c r="D20">
        <v>0</v>
      </c>
      <c r="E20">
        <v>1</v>
      </c>
      <c r="F20">
        <f t="shared" si="0"/>
        <v>0</v>
      </c>
      <c r="G20">
        <f t="shared" si="0"/>
        <v>0</v>
      </c>
      <c r="H20">
        <f t="shared" si="0"/>
        <v>71.400000000000006</v>
      </c>
      <c r="J20" t="s">
        <v>48</v>
      </c>
      <c r="K20">
        <v>32</v>
      </c>
      <c r="L20">
        <v>3446.8749999999995</v>
      </c>
      <c r="M20">
        <v>107.71484374999999</v>
      </c>
    </row>
    <row r="21" spans="1:23" ht="15" thickBot="1" x14ac:dyDescent="0.4">
      <c r="A21">
        <v>42</v>
      </c>
      <c r="B21">
        <v>55</v>
      </c>
      <c r="C21">
        <v>0</v>
      </c>
      <c r="D21">
        <v>0</v>
      </c>
      <c r="E21">
        <v>1</v>
      </c>
      <c r="F21">
        <f t="shared" si="0"/>
        <v>0</v>
      </c>
      <c r="G21">
        <f t="shared" si="0"/>
        <v>0</v>
      </c>
      <c r="H21">
        <f t="shared" si="0"/>
        <v>55</v>
      </c>
      <c r="J21" s="25" t="s">
        <v>50</v>
      </c>
      <c r="K21" s="25">
        <v>35</v>
      </c>
      <c r="L21" s="25">
        <v>4901.8888888888896</v>
      </c>
      <c r="M21" s="25"/>
      <c r="N21" s="25"/>
      <c r="O21" s="25"/>
      <c r="R21" s="19" t="s">
        <v>35</v>
      </c>
      <c r="S21" s="19"/>
    </row>
    <row r="22" spans="1:23" x14ac:dyDescent="0.35">
      <c r="A22">
        <v>31</v>
      </c>
      <c r="B22">
        <v>54</v>
      </c>
      <c r="C22">
        <v>0</v>
      </c>
      <c r="D22">
        <v>0</v>
      </c>
      <c r="E22">
        <v>1</v>
      </c>
      <c r="F22">
        <f t="shared" si="0"/>
        <v>0</v>
      </c>
      <c r="G22">
        <f t="shared" si="0"/>
        <v>0</v>
      </c>
      <c r="H22">
        <f t="shared" si="0"/>
        <v>54</v>
      </c>
      <c r="R22" t="s">
        <v>43</v>
      </c>
      <c r="S22">
        <v>0.79950994785887097</v>
      </c>
    </row>
    <row r="23" spans="1:23" ht="15" thickBot="1" x14ac:dyDescent="0.4">
      <c r="A23">
        <v>24</v>
      </c>
      <c r="B23">
        <v>27.9</v>
      </c>
      <c r="C23">
        <v>0</v>
      </c>
      <c r="D23">
        <v>0</v>
      </c>
      <c r="E23">
        <v>1</v>
      </c>
      <c r="F23">
        <f t="shared" si="0"/>
        <v>0</v>
      </c>
      <c r="G23">
        <f t="shared" si="0"/>
        <v>0</v>
      </c>
      <c r="H23">
        <f t="shared" si="0"/>
        <v>27.9</v>
      </c>
      <c r="J23" t="s">
        <v>58</v>
      </c>
      <c r="R23" t="s">
        <v>46</v>
      </c>
      <c r="S23">
        <v>0.63921615672529453</v>
      </c>
    </row>
    <row r="24" spans="1:23" x14ac:dyDescent="0.35">
      <c r="A24">
        <v>15</v>
      </c>
      <c r="B24">
        <v>40.599999999999994</v>
      </c>
      <c r="C24">
        <v>0</v>
      </c>
      <c r="D24">
        <v>0</v>
      </c>
      <c r="E24">
        <v>1</v>
      </c>
      <c r="F24">
        <f t="shared" si="0"/>
        <v>0</v>
      </c>
      <c r="G24">
        <f t="shared" si="0"/>
        <v>0</v>
      </c>
      <c r="H24">
        <f t="shared" si="0"/>
        <v>40.599999999999994</v>
      </c>
      <c r="J24" s="21"/>
      <c r="K24" s="21" t="s">
        <v>10</v>
      </c>
      <c r="L24" s="21" t="s">
        <v>39</v>
      </c>
      <c r="M24" s="21" t="s">
        <v>40</v>
      </c>
      <c r="N24" s="21" t="s">
        <v>41</v>
      </c>
      <c r="O24" s="21" t="s">
        <v>42</v>
      </c>
      <c r="R24" t="s">
        <v>49</v>
      </c>
      <c r="S24">
        <v>0.5926634027543648</v>
      </c>
    </row>
    <row r="25" spans="1:23" x14ac:dyDescent="0.35">
      <c r="A25">
        <v>13</v>
      </c>
      <c r="B25">
        <v>33</v>
      </c>
      <c r="C25">
        <v>0</v>
      </c>
      <c r="D25">
        <v>0</v>
      </c>
      <c r="E25">
        <v>1</v>
      </c>
      <c r="F25">
        <f t="shared" si="0"/>
        <v>0</v>
      </c>
      <c r="G25">
        <f t="shared" si="0"/>
        <v>0</v>
      </c>
      <c r="H25">
        <f t="shared" si="0"/>
        <v>33</v>
      </c>
      <c r="J25" t="s">
        <v>45</v>
      </c>
      <c r="K25">
        <v>1</v>
      </c>
      <c r="L25">
        <v>2562.3366929048839</v>
      </c>
      <c r="M25">
        <v>2562.3366929048839</v>
      </c>
      <c r="N25">
        <v>37.237659287239794</v>
      </c>
      <c r="O25">
        <v>6.3463662804716112E-7</v>
      </c>
      <c r="R25" t="s">
        <v>51</v>
      </c>
      <c r="S25">
        <v>7.5530859163205379</v>
      </c>
    </row>
    <row r="26" spans="1:23" ht="15" thickBot="1" x14ac:dyDescent="0.4">
      <c r="A26">
        <v>9</v>
      </c>
      <c r="B26">
        <v>22.2</v>
      </c>
      <c r="C26">
        <v>0</v>
      </c>
      <c r="D26">
        <v>0</v>
      </c>
      <c r="E26">
        <v>1</v>
      </c>
      <c r="F26">
        <f t="shared" si="0"/>
        <v>0</v>
      </c>
      <c r="G26">
        <f t="shared" si="0"/>
        <v>0</v>
      </c>
      <c r="H26">
        <f t="shared" si="0"/>
        <v>22.2</v>
      </c>
      <c r="J26" t="s">
        <v>48</v>
      </c>
      <c r="K26">
        <v>34</v>
      </c>
      <c r="L26">
        <v>2339.5521959840057</v>
      </c>
      <c r="M26">
        <v>68.810358705411929</v>
      </c>
      <c r="R26" s="25" t="s">
        <v>52</v>
      </c>
      <c r="S26" s="25">
        <v>36</v>
      </c>
    </row>
    <row r="27" spans="1:23" ht="15" thickBot="1" x14ac:dyDescent="0.4">
      <c r="A27">
        <v>21</v>
      </c>
      <c r="B27">
        <v>80.5</v>
      </c>
      <c r="C27">
        <v>0</v>
      </c>
      <c r="D27">
        <v>0</v>
      </c>
      <c r="E27">
        <v>1</v>
      </c>
      <c r="F27">
        <f t="shared" si="0"/>
        <v>0</v>
      </c>
      <c r="G27">
        <f t="shared" si="0"/>
        <v>0</v>
      </c>
      <c r="H27">
        <f t="shared" si="0"/>
        <v>80.5</v>
      </c>
      <c r="J27" s="25" t="s">
        <v>50</v>
      </c>
      <c r="K27" s="25">
        <v>35</v>
      </c>
      <c r="L27" s="25">
        <v>4901.8888888888896</v>
      </c>
      <c r="M27" s="25"/>
      <c r="N27" s="25"/>
      <c r="O27" s="25"/>
    </row>
    <row r="28" spans="1:23" ht="15" thickBot="1" x14ac:dyDescent="0.4">
      <c r="A28">
        <v>31</v>
      </c>
      <c r="B28">
        <v>80</v>
      </c>
      <c r="C28">
        <v>0</v>
      </c>
      <c r="D28">
        <v>0</v>
      </c>
      <c r="E28">
        <v>1</v>
      </c>
      <c r="F28">
        <f t="shared" si="0"/>
        <v>0</v>
      </c>
      <c r="G28">
        <f t="shared" si="0"/>
        <v>0</v>
      </c>
      <c r="H28">
        <f t="shared" si="0"/>
        <v>80</v>
      </c>
      <c r="R28" t="s">
        <v>54</v>
      </c>
    </row>
    <row r="29" spans="1:23" x14ac:dyDescent="0.35">
      <c r="A29">
        <v>13</v>
      </c>
      <c r="B29">
        <v>41</v>
      </c>
      <c r="C29">
        <v>0</v>
      </c>
      <c r="D29">
        <v>0</v>
      </c>
      <c r="E29">
        <v>1</v>
      </c>
      <c r="F29">
        <f t="shared" si="0"/>
        <v>0</v>
      </c>
      <c r="G29">
        <f t="shared" si="0"/>
        <v>0</v>
      </c>
      <c r="H29">
        <f t="shared" si="0"/>
        <v>41</v>
      </c>
      <c r="R29" s="21"/>
      <c r="S29" s="21" t="s">
        <v>10</v>
      </c>
      <c r="T29" s="21" t="s">
        <v>39</v>
      </c>
      <c r="U29" s="21" t="s">
        <v>40</v>
      </c>
      <c r="V29" s="21" t="s">
        <v>41</v>
      </c>
      <c r="W29" s="21" t="s">
        <v>42</v>
      </c>
    </row>
    <row r="30" spans="1:23" ht="15" thickBot="1" x14ac:dyDescent="0.4">
      <c r="A30">
        <v>12</v>
      </c>
      <c r="B30">
        <v>35</v>
      </c>
      <c r="C30">
        <v>0</v>
      </c>
      <c r="D30">
        <v>0</v>
      </c>
      <c r="E30">
        <v>0</v>
      </c>
      <c r="F30">
        <f t="shared" si="0"/>
        <v>0</v>
      </c>
      <c r="G30">
        <f t="shared" si="0"/>
        <v>0</v>
      </c>
      <c r="H30">
        <f t="shared" si="0"/>
        <v>0</v>
      </c>
      <c r="J30" t="s">
        <v>59</v>
      </c>
      <c r="R30" t="s">
        <v>45</v>
      </c>
      <c r="S30">
        <v>4</v>
      </c>
      <c r="T30">
        <v>3133.3665762499804</v>
      </c>
      <c r="U30">
        <v>783.34164406249511</v>
      </c>
      <c r="V30">
        <v>13.731006271389626</v>
      </c>
      <c r="W30">
        <v>1.4964731310688181E-6</v>
      </c>
    </row>
    <row r="31" spans="1:23" x14ac:dyDescent="0.35">
      <c r="A31">
        <v>10</v>
      </c>
      <c r="B31">
        <v>33</v>
      </c>
      <c r="C31">
        <v>0</v>
      </c>
      <c r="D31">
        <v>0</v>
      </c>
      <c r="E31">
        <v>0</v>
      </c>
      <c r="F31">
        <f t="shared" si="0"/>
        <v>0</v>
      </c>
      <c r="G31">
        <f t="shared" si="0"/>
        <v>0</v>
      </c>
      <c r="H31">
        <f t="shared" si="0"/>
        <v>0</v>
      </c>
      <c r="J31" s="21" t="s">
        <v>60</v>
      </c>
      <c r="K31" s="21" t="s">
        <v>10</v>
      </c>
      <c r="L31" s="21" t="s">
        <v>39</v>
      </c>
      <c r="M31" s="21" t="s">
        <v>40</v>
      </c>
      <c r="N31" s="21" t="s">
        <v>41</v>
      </c>
      <c r="O31" s="21" t="s">
        <v>42</v>
      </c>
      <c r="R31" t="s">
        <v>48</v>
      </c>
      <c r="S31">
        <v>31</v>
      </c>
      <c r="T31">
        <v>1768.5223126389094</v>
      </c>
      <c r="U31">
        <v>57.049106859319657</v>
      </c>
    </row>
    <row r="32" spans="1:23" ht="15" thickBot="1" x14ac:dyDescent="0.4">
      <c r="A32">
        <v>19</v>
      </c>
      <c r="B32">
        <v>34.200000000000003</v>
      </c>
      <c r="C32">
        <v>0</v>
      </c>
      <c r="D32">
        <v>0</v>
      </c>
      <c r="E32">
        <v>0</v>
      </c>
      <c r="F32">
        <f t="shared" si="0"/>
        <v>0</v>
      </c>
      <c r="G32">
        <f t="shared" si="0"/>
        <v>0</v>
      </c>
      <c r="H32">
        <f t="shared" si="0"/>
        <v>0</v>
      </c>
      <c r="J32" t="s">
        <v>61</v>
      </c>
      <c r="K32">
        <f>K7-K19</f>
        <v>1</v>
      </c>
      <c r="L32">
        <f>L7-L19</f>
        <v>1678.3526873610904</v>
      </c>
      <c r="M32">
        <f>L32/K32</f>
        <v>1678.3526873610904</v>
      </c>
      <c r="N32">
        <f>M32/M34</f>
        <v>29.419438440987815</v>
      </c>
      <c r="O32">
        <f>FDIST(N32,K32,K34)</f>
        <v>6.3670620361677781E-6</v>
      </c>
      <c r="R32" s="25" t="s">
        <v>50</v>
      </c>
      <c r="S32" s="25">
        <v>35</v>
      </c>
      <c r="T32" s="25">
        <v>4901.8888888888896</v>
      </c>
      <c r="U32" s="25"/>
      <c r="V32" s="25"/>
      <c r="W32" s="25"/>
    </row>
    <row r="33" spans="1:24" ht="15" thickBot="1" x14ac:dyDescent="0.4">
      <c r="A33">
        <v>18</v>
      </c>
      <c r="B33">
        <v>43.2</v>
      </c>
      <c r="C33">
        <v>0</v>
      </c>
      <c r="D33">
        <v>0</v>
      </c>
      <c r="E33">
        <v>0</v>
      </c>
      <c r="F33">
        <f t="shared" si="0"/>
        <v>0</v>
      </c>
      <c r="G33">
        <f t="shared" si="0"/>
        <v>0</v>
      </c>
      <c r="H33">
        <f t="shared" si="0"/>
        <v>0</v>
      </c>
      <c r="J33" t="s">
        <v>62</v>
      </c>
      <c r="K33">
        <f>K7-K25</f>
        <v>3</v>
      </c>
      <c r="L33">
        <f>L7-L25</f>
        <v>571.02988334509655</v>
      </c>
      <c r="M33">
        <f>L33/K33</f>
        <v>190.34329444836553</v>
      </c>
      <c r="N33">
        <f>M33/M34</f>
        <v>3.3364815845012772</v>
      </c>
      <c r="O33">
        <f>FDIST(N33,K33,K34)</f>
        <v>3.1940102263091678E-2</v>
      </c>
    </row>
    <row r="34" spans="1:24" x14ac:dyDescent="0.35">
      <c r="A34">
        <v>14</v>
      </c>
      <c r="B34">
        <v>20</v>
      </c>
      <c r="C34">
        <v>0</v>
      </c>
      <c r="D34">
        <v>0</v>
      </c>
      <c r="E34">
        <v>0</v>
      </c>
      <c r="F34">
        <f t="shared" si="0"/>
        <v>0</v>
      </c>
      <c r="G34">
        <f t="shared" si="0"/>
        <v>0</v>
      </c>
      <c r="H34">
        <f t="shared" si="0"/>
        <v>0</v>
      </c>
      <c r="J34" t="s">
        <v>48</v>
      </c>
      <c r="K34">
        <f>K8</f>
        <v>31</v>
      </c>
      <c r="L34">
        <f>L8</f>
        <v>1768.5223126389094</v>
      </c>
      <c r="M34">
        <f>L34/K34</f>
        <v>57.049106859319657</v>
      </c>
      <c r="R34" s="21"/>
      <c r="S34" s="21" t="s">
        <v>63</v>
      </c>
      <c r="T34" s="21" t="s">
        <v>51</v>
      </c>
      <c r="U34" s="21" t="s">
        <v>64</v>
      </c>
      <c r="V34" s="21" t="s">
        <v>65</v>
      </c>
      <c r="W34" s="21" t="s">
        <v>66</v>
      </c>
      <c r="X34" s="21" t="s">
        <v>67</v>
      </c>
    </row>
    <row r="35" spans="1:24" ht="15" thickBot="1" x14ac:dyDescent="0.4">
      <c r="A35">
        <v>8</v>
      </c>
      <c r="B35">
        <v>37</v>
      </c>
      <c r="C35">
        <v>0</v>
      </c>
      <c r="D35">
        <v>0</v>
      </c>
      <c r="E35">
        <v>0</v>
      </c>
      <c r="F35">
        <f t="shared" si="0"/>
        <v>0</v>
      </c>
      <c r="G35">
        <f t="shared" si="0"/>
        <v>0</v>
      </c>
      <c r="H35">
        <f t="shared" si="0"/>
        <v>0</v>
      </c>
      <c r="J35" s="25" t="s">
        <v>50</v>
      </c>
      <c r="K35" s="25">
        <f>K9</f>
        <v>35</v>
      </c>
      <c r="L35" s="25">
        <f>L9</f>
        <v>4901.8888888888896</v>
      </c>
      <c r="M35" s="25"/>
      <c r="N35" s="25"/>
      <c r="O35" s="25"/>
      <c r="R35" t="s">
        <v>68</v>
      </c>
      <c r="S35">
        <v>2.856677552882414</v>
      </c>
      <c r="T35">
        <v>3.3763043714517851</v>
      </c>
      <c r="U35">
        <v>0.8460959790938708</v>
      </c>
      <c r="V35">
        <v>0.40398325617209507</v>
      </c>
      <c r="W35">
        <v>-4.0293406118204746</v>
      </c>
      <c r="X35">
        <v>9.7426957175853026</v>
      </c>
    </row>
    <row r="36" spans="1:24" x14ac:dyDescent="0.35">
      <c r="A36">
        <v>7</v>
      </c>
      <c r="B36">
        <v>28.2</v>
      </c>
      <c r="C36">
        <v>0</v>
      </c>
      <c r="D36">
        <v>0</v>
      </c>
      <c r="E36">
        <v>0</v>
      </c>
      <c r="F36">
        <f t="shared" si="0"/>
        <v>0</v>
      </c>
      <c r="G36">
        <f t="shared" si="0"/>
        <v>0</v>
      </c>
      <c r="H36">
        <f t="shared" si="0"/>
        <v>0</v>
      </c>
      <c r="R36" t="s">
        <v>24</v>
      </c>
      <c r="S36">
        <v>0.32253482300317932</v>
      </c>
      <c r="T36">
        <v>5.946472591854892E-2</v>
      </c>
      <c r="U36">
        <v>5.4239688827451662</v>
      </c>
      <c r="V36">
        <v>6.3670620361677307E-6</v>
      </c>
      <c r="W36">
        <v>0.20125571490602179</v>
      </c>
      <c r="X36">
        <v>0.44381393110033684</v>
      </c>
    </row>
    <row r="37" spans="1:24" x14ac:dyDescent="0.35">
      <c r="A37">
        <v>19</v>
      </c>
      <c r="B37">
        <v>46.400000000000006</v>
      </c>
      <c r="C37">
        <v>0</v>
      </c>
      <c r="D37">
        <v>0</v>
      </c>
      <c r="E37">
        <v>0</v>
      </c>
      <c r="F37">
        <f t="shared" si="0"/>
        <v>0</v>
      </c>
      <c r="G37">
        <f t="shared" si="0"/>
        <v>0</v>
      </c>
      <c r="H37">
        <f t="shared" si="0"/>
        <v>0</v>
      </c>
      <c r="R37" t="s">
        <v>25</v>
      </c>
      <c r="S37">
        <v>5.1857522742588777</v>
      </c>
      <c r="T37">
        <v>3.5996349990324723</v>
      </c>
      <c r="U37">
        <v>1.4406328073965082</v>
      </c>
      <c r="V37">
        <v>0.15971307178846195</v>
      </c>
      <c r="W37">
        <v>-2.1557517083869717</v>
      </c>
      <c r="X37">
        <v>12.527256256904728</v>
      </c>
    </row>
    <row r="38" spans="1:24" ht="15" thickBot="1" x14ac:dyDescent="0.4">
      <c r="A38">
        <v>25</v>
      </c>
      <c r="B38">
        <v>64.900000000000006</v>
      </c>
      <c r="C38">
        <v>0</v>
      </c>
      <c r="D38">
        <v>0</v>
      </c>
      <c r="E38">
        <v>0</v>
      </c>
      <c r="F38">
        <f t="shared" si="0"/>
        <v>0</v>
      </c>
      <c r="G38">
        <f t="shared" si="0"/>
        <v>0</v>
      </c>
      <c r="H38">
        <f t="shared" si="0"/>
        <v>0</v>
      </c>
      <c r="J38" t="s">
        <v>69</v>
      </c>
      <c r="R38" t="s">
        <v>26</v>
      </c>
      <c r="S38">
        <v>11.456567675888499</v>
      </c>
      <c r="T38">
        <v>3.7774692134876644</v>
      </c>
      <c r="U38">
        <v>3.0328685763955892</v>
      </c>
      <c r="V38">
        <v>4.8651077362410929E-3</v>
      </c>
      <c r="W38">
        <v>3.7523684216319424</v>
      </c>
      <c r="X38">
        <v>19.160766930145055</v>
      </c>
    </row>
    <row r="39" spans="1:24" ht="15" thickBot="1" x14ac:dyDescent="0.4">
      <c r="A39" s="24">
        <v>26</v>
      </c>
      <c r="B39" s="24">
        <v>59.4</v>
      </c>
      <c r="C39" s="24">
        <v>0</v>
      </c>
      <c r="D39" s="24">
        <v>0</v>
      </c>
      <c r="E39" s="24">
        <v>0</v>
      </c>
      <c r="F39" s="24">
        <f t="shared" si="0"/>
        <v>0</v>
      </c>
      <c r="G39" s="24">
        <f t="shared" si="0"/>
        <v>0</v>
      </c>
      <c r="H39" s="24">
        <f t="shared" si="0"/>
        <v>0</v>
      </c>
      <c r="J39" s="21" t="s">
        <v>60</v>
      </c>
      <c r="K39" s="21" t="s">
        <v>10</v>
      </c>
      <c r="L39" s="21" t="s">
        <v>39</v>
      </c>
      <c r="M39" s="21" t="s">
        <v>40</v>
      </c>
      <c r="N39" s="21" t="s">
        <v>41</v>
      </c>
      <c r="O39" s="21" t="s">
        <v>42</v>
      </c>
      <c r="R39" s="25" t="s">
        <v>27</v>
      </c>
      <c r="S39" s="25">
        <v>2.7359617960768428</v>
      </c>
      <c r="T39" s="25">
        <v>3.4343107914459856</v>
      </c>
      <c r="U39" s="25">
        <v>0.79665527152971816</v>
      </c>
      <c r="V39" s="25">
        <v>0.43171050712537717</v>
      </c>
      <c r="W39" s="25">
        <v>-4.2683612421815358</v>
      </c>
      <c r="X39" s="25">
        <v>9.7402848343352204</v>
      </c>
    </row>
    <row r="40" spans="1:24" x14ac:dyDescent="0.35">
      <c r="J40" t="s">
        <v>70</v>
      </c>
      <c r="K40">
        <f>K33</f>
        <v>3</v>
      </c>
      <c r="L40">
        <f>L33</f>
        <v>571.02988334509655</v>
      </c>
      <c r="M40">
        <f>L40/K40</f>
        <v>190.34329444836553</v>
      </c>
      <c r="N40">
        <f>M40/M41</f>
        <v>3.3364815845012772</v>
      </c>
      <c r="O40">
        <f>FDIST(N40,K40,K41)</f>
        <v>3.1940102263091678E-2</v>
      </c>
    </row>
    <row r="41" spans="1:24" ht="16.5" x14ac:dyDescent="0.45">
      <c r="A41" t="s">
        <v>71</v>
      </c>
      <c r="B41" s="15">
        <f>DEVSQ(B4:B39)</f>
        <v>18030.609722222227</v>
      </c>
      <c r="J41" t="s">
        <v>48</v>
      </c>
      <c r="K41">
        <f>K34</f>
        <v>31</v>
      </c>
      <c r="L41">
        <f>L34</f>
        <v>1768.5223126389094</v>
      </c>
      <c r="M41">
        <f>L41/K41</f>
        <v>57.049106859319657</v>
      </c>
    </row>
    <row r="42" spans="1:24" ht="15" thickBot="1" x14ac:dyDescent="0.4">
      <c r="F42" s="26"/>
      <c r="J42" s="25" t="s">
        <v>72</v>
      </c>
      <c r="K42" s="25">
        <f>K40+K41</f>
        <v>34</v>
      </c>
      <c r="L42" s="25">
        <f>T32-B43^2*B41</f>
        <v>2339.5521959840053</v>
      </c>
      <c r="M42" s="25"/>
      <c r="N42" s="25"/>
      <c r="O42" s="25"/>
      <c r="R42" t="s">
        <v>73</v>
      </c>
    </row>
    <row r="43" spans="1:24" ht="17" thickBot="1" x14ac:dyDescent="0.5">
      <c r="A43" t="s">
        <v>74</v>
      </c>
      <c r="B43" s="15">
        <f>SLOPE(A4:A39,B4:B39)</f>
        <v>0.37697529640759825</v>
      </c>
    </row>
    <row r="44" spans="1:24" x14ac:dyDescent="0.35">
      <c r="R44" s="19" t="s">
        <v>35</v>
      </c>
      <c r="S44" s="19"/>
    </row>
    <row r="45" spans="1:24" ht="15" thickBot="1" x14ac:dyDescent="0.4">
      <c r="A45" s="1" t="s">
        <v>75</v>
      </c>
      <c r="J45" t="s">
        <v>76</v>
      </c>
      <c r="R45" t="s">
        <v>43</v>
      </c>
      <c r="S45">
        <v>0.32436576379192761</v>
      </c>
    </row>
    <row r="46" spans="1:24" ht="15" thickBot="1" x14ac:dyDescent="0.4">
      <c r="J46" s="21" t="s">
        <v>60</v>
      </c>
      <c r="K46" s="21" t="s">
        <v>10</v>
      </c>
      <c r="L46" s="21" t="s">
        <v>39</v>
      </c>
      <c r="M46" s="21" t="s">
        <v>40</v>
      </c>
      <c r="N46" s="21" t="s">
        <v>41</v>
      </c>
      <c r="O46" s="21" t="s">
        <v>42</v>
      </c>
      <c r="R46" t="s">
        <v>46</v>
      </c>
      <c r="S46">
        <v>0.10521314872032059</v>
      </c>
    </row>
    <row r="47" spans="1:24" x14ac:dyDescent="0.35">
      <c r="A47" s="21" t="s">
        <v>77</v>
      </c>
      <c r="B47" s="21" t="s">
        <v>78</v>
      </c>
      <c r="C47" s="21" t="s">
        <v>79</v>
      </c>
      <c r="D47" s="21" t="s">
        <v>80</v>
      </c>
      <c r="J47" t="s">
        <v>70</v>
      </c>
      <c r="K47">
        <f>K7-1</f>
        <v>3</v>
      </c>
      <c r="L47">
        <f>L49-L48</f>
        <v>571.02988334509587</v>
      </c>
      <c r="M47">
        <f>L47/K47</f>
        <v>190.3432944483653</v>
      </c>
      <c r="N47">
        <f>M47/M48</f>
        <v>3.3364815845012732</v>
      </c>
      <c r="O47">
        <f>FDIST(N47,K47,K48)</f>
        <v>3.1940102263091824E-2</v>
      </c>
      <c r="R47" t="s">
        <v>49</v>
      </c>
      <c r="S47">
        <v>2.1326881412850648E-2</v>
      </c>
    </row>
    <row r="48" spans="1:24" x14ac:dyDescent="0.35">
      <c r="A48" s="20" t="s">
        <v>81</v>
      </c>
      <c r="B48">
        <f>AVERAGE(A4:A11)</f>
        <v>22.875</v>
      </c>
      <c r="C48">
        <f>AVERAGE(B4:B11)</f>
        <v>45.987499999999997</v>
      </c>
      <c r="D48">
        <f>B48-$S$36*(C48-C$52)</f>
        <v>23.783025119760339</v>
      </c>
      <c r="J48" t="s">
        <v>48</v>
      </c>
      <c r="K48">
        <f>K34</f>
        <v>31</v>
      </c>
      <c r="L48">
        <f>L34</f>
        <v>1768.5223126389094</v>
      </c>
      <c r="M48">
        <f>L48/K48</f>
        <v>57.049106859319657</v>
      </c>
      <c r="R48" t="s">
        <v>51</v>
      </c>
      <c r="S48">
        <v>22.453808488205294</v>
      </c>
    </row>
    <row r="49" spans="1:23" ht="15" thickBot="1" x14ac:dyDescent="0.4">
      <c r="A49" s="20" t="s">
        <v>1</v>
      </c>
      <c r="B49">
        <f>AVERAGE(A12:A19)</f>
        <v>33.75</v>
      </c>
      <c r="C49">
        <f>AVERAGE(B12:B19)</f>
        <v>60.262500000000003</v>
      </c>
      <c r="D49">
        <f>B49-$S$36*(C49-C$52)</f>
        <v>30.053840521389954</v>
      </c>
      <c r="J49" s="25" t="s">
        <v>72</v>
      </c>
      <c r="K49" s="25">
        <f>K47+K48</f>
        <v>34</v>
      </c>
      <c r="L49" s="25">
        <f>L9-B43^2*B41</f>
        <v>2339.5521959840053</v>
      </c>
      <c r="M49" s="25"/>
      <c r="N49" s="25"/>
      <c r="O49" s="25"/>
      <c r="R49" s="25" t="s">
        <v>52</v>
      </c>
      <c r="S49" s="25">
        <v>36</v>
      </c>
    </row>
    <row r="50" spans="1:23" x14ac:dyDescent="0.35">
      <c r="A50" s="20" t="s">
        <v>82</v>
      </c>
      <c r="B50">
        <f>AVERAGE(A20:A29)</f>
        <v>21.9</v>
      </c>
      <c r="C50">
        <f>AVERAGE(B20:B29)</f>
        <v>50.559999999999995</v>
      </c>
      <c r="D50">
        <f>B50-$S$36*(C50-C$52)</f>
        <v>21.333234641578301</v>
      </c>
    </row>
    <row r="51" spans="1:23" ht="15" thickBot="1" x14ac:dyDescent="0.4">
      <c r="A51" s="27" t="s">
        <v>2</v>
      </c>
      <c r="B51" s="25">
        <f>AVERAGE(A30:A39)</f>
        <v>15.8</v>
      </c>
      <c r="C51" s="25">
        <f>AVERAGE(B30:B39)</f>
        <v>40.129999999999995</v>
      </c>
      <c r="D51" s="25">
        <f>B51-$S$36*(C51-C$52)</f>
        <v>18.597272845501465</v>
      </c>
      <c r="R51" t="s">
        <v>54</v>
      </c>
    </row>
    <row r="52" spans="1:23" x14ac:dyDescent="0.35">
      <c r="B52">
        <f>AVERAGE(A4:A39)</f>
        <v>23.055555555555557</v>
      </c>
      <c r="C52">
        <f>AVERAGE(B4:B39)</f>
        <v>48.802777777777777</v>
      </c>
      <c r="D52">
        <f>AVERAGE(D48:D51)</f>
        <v>23.441843282057516</v>
      </c>
      <c r="J52" s="1" t="s">
        <v>83</v>
      </c>
      <c r="R52" s="21"/>
      <c r="S52" s="21" t="s">
        <v>10</v>
      </c>
      <c r="T52" s="21" t="s">
        <v>39</v>
      </c>
      <c r="U52" s="21" t="s">
        <v>40</v>
      </c>
      <c r="V52" s="21" t="s">
        <v>41</v>
      </c>
      <c r="W52" s="21" t="s">
        <v>42</v>
      </c>
    </row>
    <row r="53" spans="1:23" x14ac:dyDescent="0.35">
      <c r="R53" t="s">
        <v>45</v>
      </c>
      <c r="S53">
        <v>3</v>
      </c>
      <c r="T53">
        <v>1897.0572222222254</v>
      </c>
      <c r="U53">
        <v>632.35240740740846</v>
      </c>
      <c r="V53">
        <v>1.2542356704784683</v>
      </c>
      <c r="W53">
        <v>0.30655018520822414</v>
      </c>
    </row>
    <row r="54" spans="1:23" ht="15" thickBot="1" x14ac:dyDescent="0.4">
      <c r="J54" t="s">
        <v>84</v>
      </c>
      <c r="R54" t="s">
        <v>48</v>
      </c>
      <c r="S54">
        <v>32</v>
      </c>
      <c r="T54">
        <v>16133.552500000002</v>
      </c>
      <c r="U54">
        <v>504.17351562500005</v>
      </c>
    </row>
    <row r="55" spans="1:23" ht="15" thickBot="1" x14ac:dyDescent="0.4">
      <c r="A55" s="21" t="s">
        <v>77</v>
      </c>
      <c r="B55" s="21" t="s">
        <v>78</v>
      </c>
      <c r="C55" s="21" t="s">
        <v>85</v>
      </c>
      <c r="R55" s="25" t="s">
        <v>50</v>
      </c>
      <c r="S55" s="25">
        <v>35</v>
      </c>
      <c r="T55" s="25">
        <v>18030.609722222227</v>
      </c>
      <c r="U55" s="25"/>
      <c r="V55" s="25"/>
      <c r="W55" s="25"/>
    </row>
    <row r="56" spans="1:23" x14ac:dyDescent="0.35">
      <c r="A56" s="20" t="s">
        <v>81</v>
      </c>
      <c r="B56">
        <f>AVERAGE(A4:A11)</f>
        <v>22.875</v>
      </c>
      <c r="C56">
        <f>C59+S37</f>
        <v>23.783025119760339</v>
      </c>
      <c r="J56" t="s">
        <v>86</v>
      </c>
      <c r="K56" s="5">
        <f>L33/L35</f>
        <v>0.11649180474886933</v>
      </c>
    </row>
    <row r="57" spans="1:23" x14ac:dyDescent="0.35">
      <c r="A57" s="20" t="s">
        <v>1</v>
      </c>
      <c r="B57">
        <f>AVERAGE(A12:A19)</f>
        <v>33.75</v>
      </c>
      <c r="C57">
        <f>C59+S38</f>
        <v>30.053840521389958</v>
      </c>
      <c r="J57" t="s">
        <v>87</v>
      </c>
      <c r="K57" s="12">
        <f>L33/(L33+L34)</f>
        <v>0.24407657342516512</v>
      </c>
    </row>
    <row r="58" spans="1:23" x14ac:dyDescent="0.35">
      <c r="A58" s="20" t="s">
        <v>82</v>
      </c>
      <c r="B58">
        <f>AVERAGE(A20:A29)</f>
        <v>21.9</v>
      </c>
      <c r="C58">
        <f>C59+S39</f>
        <v>21.333234641578304</v>
      </c>
      <c r="R58" t="s">
        <v>88</v>
      </c>
    </row>
    <row r="59" spans="1:23" ht="15" thickBot="1" x14ac:dyDescent="0.4">
      <c r="A59" s="27" t="s">
        <v>2</v>
      </c>
      <c r="B59" s="25">
        <f>AVERAGE(A30:A39)</f>
        <v>15.8</v>
      </c>
      <c r="C59" s="25">
        <f>S35+C52*S36</f>
        <v>18.597272845501461</v>
      </c>
      <c r="J59" t="s">
        <v>89</v>
      </c>
    </row>
    <row r="60" spans="1:23" x14ac:dyDescent="0.35">
      <c r="B60">
        <f>AVERAGE(A4:A39)</f>
        <v>23.055555555555557</v>
      </c>
      <c r="C60">
        <f>AVERAGE(C56:C59)</f>
        <v>23.441843282057516</v>
      </c>
      <c r="R60" s="19" t="s">
        <v>35</v>
      </c>
      <c r="S60" s="19"/>
    </row>
    <row r="61" spans="1:23" x14ac:dyDescent="0.35">
      <c r="J61" t="s">
        <v>86</v>
      </c>
      <c r="K61" s="5">
        <f>L32/L35</f>
        <v>0.34238896992655465</v>
      </c>
      <c r="R61" t="s">
        <v>43</v>
      </c>
      <c r="S61">
        <v>0.54481848977319036</v>
      </c>
    </row>
    <row r="62" spans="1:23" x14ac:dyDescent="0.35">
      <c r="J62" t="s">
        <v>87</v>
      </c>
      <c r="K62" s="12">
        <f>L32/(L32+L34)</f>
        <v>0.48692009062153119</v>
      </c>
      <c r="R62" t="s">
        <v>46</v>
      </c>
      <c r="S62">
        <v>0.29682718679873993</v>
      </c>
    </row>
    <row r="63" spans="1:23" x14ac:dyDescent="0.35">
      <c r="R63" t="s">
        <v>49</v>
      </c>
      <c r="S63">
        <v>0.23090473556112179</v>
      </c>
    </row>
    <row r="64" spans="1:23" x14ac:dyDescent="0.35">
      <c r="J64" t="s">
        <v>90</v>
      </c>
      <c r="R64" t="s">
        <v>51</v>
      </c>
      <c r="S64">
        <v>10.378576190884759</v>
      </c>
    </row>
    <row r="65" spans="10:23" ht="15" thickBot="1" x14ac:dyDescent="0.4">
      <c r="R65" s="25" t="s">
        <v>52</v>
      </c>
      <c r="S65" s="25">
        <v>36</v>
      </c>
    </row>
    <row r="66" spans="10:23" x14ac:dyDescent="0.35">
      <c r="J66" t="s">
        <v>91</v>
      </c>
      <c r="K66" s="15">
        <f>SQRT(U36^2/(U36^2+S31))</f>
        <v>0.69779659688302542</v>
      </c>
    </row>
    <row r="67" spans="10:23" ht="15" thickBot="1" x14ac:dyDescent="0.4">
      <c r="R67" t="s">
        <v>54</v>
      </c>
    </row>
    <row r="68" spans="10:23" x14ac:dyDescent="0.35">
      <c r="R68" s="21"/>
      <c r="S68" s="21" t="s">
        <v>10</v>
      </c>
      <c r="T68" s="21" t="s">
        <v>39</v>
      </c>
      <c r="U68" s="21" t="s">
        <v>40</v>
      </c>
      <c r="V68" s="21" t="s">
        <v>41</v>
      </c>
      <c r="W68" s="21" t="s">
        <v>42</v>
      </c>
    </row>
    <row r="69" spans="10:23" x14ac:dyDescent="0.35">
      <c r="R69" t="s">
        <v>45</v>
      </c>
      <c r="S69">
        <v>3</v>
      </c>
      <c r="T69">
        <v>1455.0138888888901</v>
      </c>
      <c r="U69">
        <v>485.00462962963002</v>
      </c>
      <c r="V69">
        <v>4.5026721735334654</v>
      </c>
      <c r="W69">
        <v>9.5805875705777723E-3</v>
      </c>
    </row>
    <row r="70" spans="10:23" x14ac:dyDescent="0.35">
      <c r="R70" t="s">
        <v>48</v>
      </c>
      <c r="S70">
        <v>32</v>
      </c>
      <c r="T70">
        <v>3446.8749999999995</v>
      </c>
      <c r="U70">
        <v>107.71484374999999</v>
      </c>
    </row>
    <row r="71" spans="10:23" ht="15" thickBot="1" x14ac:dyDescent="0.4">
      <c r="R71" s="25" t="s">
        <v>50</v>
      </c>
      <c r="S71" s="25">
        <v>35</v>
      </c>
      <c r="T71" s="25">
        <v>4901.8888888888896</v>
      </c>
      <c r="U71" s="25"/>
      <c r="V71" s="25"/>
      <c r="W71" s="25"/>
    </row>
    <row r="74" spans="10:23" x14ac:dyDescent="0.35">
      <c r="R74" t="s">
        <v>92</v>
      </c>
    </row>
    <row r="75" spans="10:23" ht="15" thickBot="1" x14ac:dyDescent="0.4"/>
    <row r="76" spans="10:23" x14ac:dyDescent="0.35">
      <c r="R76" s="19" t="s">
        <v>35</v>
      </c>
      <c r="S76" s="19"/>
    </row>
    <row r="77" spans="10:23" x14ac:dyDescent="0.35">
      <c r="R77" t="s">
        <v>43</v>
      </c>
      <c r="S77">
        <v>0.72299678559204206</v>
      </c>
    </row>
    <row r="78" spans="10:23" x14ac:dyDescent="0.35">
      <c r="R78" t="s">
        <v>46</v>
      </c>
      <c r="S78">
        <v>0.52272435197642519</v>
      </c>
    </row>
    <row r="79" spans="10:23" x14ac:dyDescent="0.35">
      <c r="R79" t="s">
        <v>49</v>
      </c>
      <c r="S79">
        <v>0.5086868329169083</v>
      </c>
    </row>
    <row r="80" spans="10:23" x14ac:dyDescent="0.35">
      <c r="R80" t="s">
        <v>51</v>
      </c>
      <c r="S80">
        <v>8.2952009442455292</v>
      </c>
    </row>
    <row r="81" spans="18:23" ht="15" thickBot="1" x14ac:dyDescent="0.4">
      <c r="R81" s="25" t="s">
        <v>52</v>
      </c>
      <c r="S81" s="25">
        <v>36</v>
      </c>
    </row>
    <row r="83" spans="18:23" ht="15" thickBot="1" x14ac:dyDescent="0.4">
      <c r="R83" t="s">
        <v>54</v>
      </c>
    </row>
    <row r="84" spans="18:23" x14ac:dyDescent="0.35">
      <c r="R84" s="21"/>
      <c r="S84" s="21" t="s">
        <v>10</v>
      </c>
      <c r="T84" s="21" t="s">
        <v>39</v>
      </c>
      <c r="U84" s="21" t="s">
        <v>40</v>
      </c>
      <c r="V84" s="21" t="s">
        <v>41</v>
      </c>
      <c r="W84" s="21" t="s">
        <v>42</v>
      </c>
    </row>
    <row r="85" spans="18:23" x14ac:dyDescent="0.35">
      <c r="R85" t="s">
        <v>45</v>
      </c>
      <c r="S85">
        <v>1</v>
      </c>
      <c r="T85">
        <v>2562.3366929048839</v>
      </c>
      <c r="U85">
        <v>2562.3366929048839</v>
      </c>
      <c r="V85">
        <v>37.237659287239794</v>
      </c>
      <c r="W85">
        <v>6.3463662804716112E-7</v>
      </c>
    </row>
    <row r="86" spans="18:23" x14ac:dyDescent="0.35">
      <c r="R86" t="s">
        <v>48</v>
      </c>
      <c r="S86">
        <v>34</v>
      </c>
      <c r="T86">
        <v>2339.5521959840057</v>
      </c>
      <c r="U86">
        <v>68.810358705411929</v>
      </c>
    </row>
    <row r="87" spans="18:23" ht="15" thickBot="1" x14ac:dyDescent="0.4">
      <c r="R87" s="25" t="s">
        <v>50</v>
      </c>
      <c r="S87" s="25">
        <v>35</v>
      </c>
      <c r="T87" s="25">
        <v>4901.8888888888896</v>
      </c>
      <c r="U87" s="25"/>
      <c r="V87" s="25"/>
      <c r="W87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45C0E-6D5D-4CDB-B424-EDBD0A5759F8}">
  <sheetPr codeName="Sheet188"/>
  <dimension ref="A1:F17"/>
  <sheetViews>
    <sheetView workbookViewId="0"/>
  </sheetViews>
  <sheetFormatPr defaultRowHeight="14.5" x14ac:dyDescent="0.35"/>
  <cols>
    <col min="1" max="1" width="16.453125" customWidth="1"/>
    <col min="5" max="5" width="3.453125" customWidth="1"/>
    <col min="6" max="6" width="26.54296875" customWidth="1"/>
  </cols>
  <sheetData>
    <row r="1" spans="1:6" x14ac:dyDescent="0.35">
      <c r="A1" s="1" t="s">
        <v>0</v>
      </c>
    </row>
    <row r="3" spans="1:6" x14ac:dyDescent="0.35">
      <c r="B3" s="2" t="s">
        <v>1</v>
      </c>
      <c r="C3" s="2" t="s">
        <v>2</v>
      </c>
    </row>
    <row r="4" spans="1:6" x14ac:dyDescent="0.35">
      <c r="A4" t="s">
        <v>3</v>
      </c>
      <c r="B4" s="3">
        <f>'[1]ANCOVA 2'!C57</f>
        <v>30.053840521389958</v>
      </c>
      <c r="C4" s="4">
        <f>'[1]ANCOVA 2'!C59</f>
        <v>18.597272845501461</v>
      </c>
      <c r="D4" s="5">
        <f>ABS(B4-C4)</f>
        <v>11.456567675888497</v>
      </c>
      <c r="F4" s="6" t="e" cm="1">
        <f t="array" aca="1" ref="F4" ca="1">FTEXT(D4)</f>
        <v>#NAME?</v>
      </c>
    </row>
    <row r="5" spans="1:6" x14ac:dyDescent="0.35">
      <c r="A5" t="s">
        <v>4</v>
      </c>
      <c r="B5" s="7">
        <f>'[1]ANCOVA 1'!H16</f>
        <v>60.262500000000003</v>
      </c>
      <c r="C5" s="8">
        <f>'[1]ANCOVA 1'!J16</f>
        <v>40.129999999999995</v>
      </c>
      <c r="D5" s="9">
        <f>(B5-C5)^2</f>
        <v>405.31755625000028</v>
      </c>
      <c r="F5" s="6" t="e" cm="1">
        <f t="array" aca="1" ref="F5" ca="1">FTEXT(D5)</f>
        <v>#NAME?</v>
      </c>
    </row>
    <row r="6" spans="1:6" x14ac:dyDescent="0.35">
      <c r="A6" t="s">
        <v>5</v>
      </c>
      <c r="B6" s="10">
        <f>COUNT('[1]ANCOVA 1'!C6:C15)</f>
        <v>8</v>
      </c>
      <c r="C6" s="11">
        <f>COUNT('[1]ANCOVA 1'!E6:E15)</f>
        <v>10</v>
      </c>
      <c r="D6" s="12">
        <f>1/B6+1/C6</f>
        <v>0.22500000000000001</v>
      </c>
      <c r="F6" s="6" t="e" cm="1">
        <f t="array" aca="1" ref="F6" ca="1">FTEXT(D6)</f>
        <v>#NAME?</v>
      </c>
    </row>
    <row r="7" spans="1:6" x14ac:dyDescent="0.35">
      <c r="A7" t="s">
        <v>6</v>
      </c>
      <c r="D7" s="9">
        <f>'[1]ANCOVA 2'!M8</f>
        <v>57.049106859319657</v>
      </c>
      <c r="F7" s="6" t="e" cm="1">
        <f t="array" aca="1" ref="F7" ca="1">FTEXT(D7)</f>
        <v>#NAME?</v>
      </c>
    </row>
    <row r="8" spans="1:6" x14ac:dyDescent="0.35">
      <c r="A8" t="s">
        <v>7</v>
      </c>
      <c r="D8" s="9">
        <f>'[1]ANCOVA 2'!L14</f>
        <v>16133.552500000002</v>
      </c>
      <c r="F8" s="6" t="e" cm="1">
        <f t="array" aca="1" ref="F8" ca="1">FTEXT(D8)</f>
        <v>#NAME?</v>
      </c>
    </row>
    <row r="9" spans="1:6" x14ac:dyDescent="0.35">
      <c r="A9" t="s">
        <v>8</v>
      </c>
      <c r="D9" s="9">
        <f>SQRT(D7*(D6+D5/D8))</f>
        <v>3.777469213487664</v>
      </c>
      <c r="F9" s="6" t="e" cm="1">
        <f t="array" aca="1" ref="F9" ca="1">FTEXT(D9)</f>
        <v>#NAME?</v>
      </c>
    </row>
    <row r="10" spans="1:6" x14ac:dyDescent="0.35">
      <c r="A10" t="s">
        <v>9</v>
      </c>
      <c r="D10" s="9">
        <f>D4/D9</f>
        <v>3.0328685763955892</v>
      </c>
      <c r="F10" s="6" t="e" cm="1">
        <f t="array" aca="1" ref="F10" ca="1">FTEXT(D10)</f>
        <v>#NAME?</v>
      </c>
    </row>
    <row r="11" spans="1:6" x14ac:dyDescent="0.35">
      <c r="A11" t="s">
        <v>10</v>
      </c>
      <c r="D11" s="9">
        <f>'[1]ANCOVA 2'!K8</f>
        <v>31</v>
      </c>
      <c r="F11" s="6" t="e" cm="1">
        <f t="array" aca="1" ref="F11" ca="1">FTEXT(D11)</f>
        <v>#NAME?</v>
      </c>
    </row>
    <row r="12" spans="1:6" x14ac:dyDescent="0.35">
      <c r="A12" s="13" t="s">
        <v>11</v>
      </c>
      <c r="D12" s="9">
        <v>0.05</v>
      </c>
    </row>
    <row r="13" spans="1:6" x14ac:dyDescent="0.35">
      <c r="A13" s="13" t="s">
        <v>12</v>
      </c>
      <c r="D13" s="9">
        <f>TDIST(D10,D11,2)</f>
        <v>4.8651077362410929E-3</v>
      </c>
      <c r="F13" s="6" t="s">
        <v>13</v>
      </c>
    </row>
    <row r="14" spans="1:6" x14ac:dyDescent="0.35">
      <c r="A14" s="13" t="s">
        <v>14</v>
      </c>
      <c r="D14" s="9">
        <f>TINV(D12,D11)</f>
        <v>2.0395134463964082</v>
      </c>
      <c r="F14" s="6" t="s">
        <v>15</v>
      </c>
    </row>
    <row r="15" spans="1:6" x14ac:dyDescent="0.35">
      <c r="A15" s="13" t="s">
        <v>16</v>
      </c>
      <c r="D15" s="14" t="str">
        <f>IF(D13&lt;D12,"yes","no")</f>
        <v>yes</v>
      </c>
      <c r="F15" s="6" t="e" cm="1">
        <f t="array" aca="1" ref="F15" ca="1">FTEXT(D15)</f>
        <v>#NAME?</v>
      </c>
    </row>
    <row r="16" spans="1:6" x14ac:dyDescent="0.35">
      <c r="F16" s="6"/>
    </row>
    <row r="17" spans="1:6" x14ac:dyDescent="0.35">
      <c r="A17" t="s">
        <v>17</v>
      </c>
      <c r="D17" s="15">
        <f>SQRT(D10^2/(D10^2+D11))</f>
        <v>0.47835442106865922</v>
      </c>
      <c r="F17" s="6" t="e" cm="1">
        <f t="array" aca="1" ref="F17" ca="1">FTEXT(D17)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ANCOVA</vt:lpstr>
      <vt:lpstr>Contrasts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2024-11-18T09:11:43Z</dcterms:created>
  <dcterms:modified xsi:type="dcterms:W3CDTF">2024-11-18T09:18:49Z</dcterms:modified>
</cp:coreProperties>
</file>