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5" documentId="8_{90D5693C-EF64-4575-9B72-782C7012B254}" xr6:coauthVersionLast="47" xr6:coauthVersionMax="47" xr10:uidLastSave="{23234A5E-9241-4B72-A185-FADC15ECF1DC}"/>
  <bookViews>
    <workbookView xWindow="-110" yWindow="-110" windowWidth="19420" windowHeight="10300" xr2:uid="{9E0E7CD4-E049-455D-93BA-C469B96E11E7}"/>
  </bookViews>
  <sheets>
    <sheet name="Title" sheetId="2" r:id="rId1"/>
    <sheet name="Charts" sheetId="1" r:id="rId2"/>
    <sheet name="Slope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3" l="1"/>
  <c r="K66" i="3"/>
  <c r="K62" i="3"/>
  <c r="B60" i="3"/>
  <c r="C59" i="3"/>
  <c r="B59" i="3"/>
  <c r="C58" i="3"/>
  <c r="B58" i="3"/>
  <c r="C57" i="3"/>
  <c r="B57" i="3"/>
  <c r="K56" i="3"/>
  <c r="C56" i="3"/>
  <c r="C60" i="3" s="1"/>
  <c r="B56" i="3"/>
  <c r="C52" i="3"/>
  <c r="B52" i="3"/>
  <c r="C51" i="3"/>
  <c r="B51" i="3"/>
  <c r="D51" i="3" s="1"/>
  <c r="C50" i="3"/>
  <c r="B50" i="3"/>
  <c r="D50" i="3" s="1"/>
  <c r="L49" i="3"/>
  <c r="C49" i="3"/>
  <c r="B49" i="3"/>
  <c r="D49" i="3" s="1"/>
  <c r="C48" i="3"/>
  <c r="B48" i="3"/>
  <c r="D48" i="3" s="1"/>
  <c r="D52" i="3" s="1"/>
  <c r="K47" i="3"/>
  <c r="B43" i="3"/>
  <c r="B41" i="3"/>
  <c r="L42" i="3" s="1"/>
  <c r="H39" i="3"/>
  <c r="G39" i="3"/>
  <c r="F39" i="3"/>
  <c r="H38" i="3"/>
  <c r="G38" i="3"/>
  <c r="F38" i="3"/>
  <c r="H37" i="3"/>
  <c r="G37" i="3"/>
  <c r="F37" i="3"/>
  <c r="H36" i="3"/>
  <c r="G36" i="3"/>
  <c r="F36" i="3"/>
  <c r="L35" i="3"/>
  <c r="K35" i="3"/>
  <c r="H35" i="3"/>
  <c r="G35" i="3"/>
  <c r="F35" i="3"/>
  <c r="L34" i="3"/>
  <c r="L48" i="3" s="1"/>
  <c r="K34" i="3"/>
  <c r="K48" i="3" s="1"/>
  <c r="K49" i="3" s="1"/>
  <c r="H34" i="3"/>
  <c r="G34" i="3"/>
  <c r="F34" i="3"/>
  <c r="L33" i="3"/>
  <c r="L40" i="3" s="1"/>
  <c r="K33" i="3"/>
  <c r="K40" i="3" s="1"/>
  <c r="H33" i="3"/>
  <c r="G33" i="3"/>
  <c r="F33" i="3"/>
  <c r="M32" i="3"/>
  <c r="L32" i="3"/>
  <c r="K61" i="3" s="1"/>
  <c r="K32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G28" i="3"/>
  <c r="F28" i="3"/>
  <c r="H27" i="3"/>
  <c r="G27" i="3"/>
  <c r="F27" i="3"/>
  <c r="H26" i="3"/>
  <c r="G26" i="3"/>
  <c r="F26" i="3"/>
  <c r="H25" i="3"/>
  <c r="G25" i="3"/>
  <c r="F25" i="3"/>
  <c r="H24" i="3"/>
  <c r="G24" i="3"/>
  <c r="F24" i="3"/>
  <c r="H23" i="3"/>
  <c r="G23" i="3"/>
  <c r="F23" i="3"/>
  <c r="H22" i="3"/>
  <c r="G22" i="3"/>
  <c r="F22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AA7" i="3"/>
  <c r="AB7" i="3" s="1"/>
  <c r="Z7" i="3"/>
  <c r="H7" i="3"/>
  <c r="G7" i="3"/>
  <c r="F7" i="3"/>
  <c r="AA6" i="3"/>
  <c r="Z6" i="3"/>
  <c r="AB6" i="3" s="1"/>
  <c r="H6" i="3"/>
  <c r="G6" i="3"/>
  <c r="F6" i="3"/>
  <c r="H5" i="3"/>
  <c r="G5" i="3"/>
  <c r="F5" i="3"/>
  <c r="H4" i="3"/>
  <c r="G4" i="3"/>
  <c r="F4" i="3"/>
  <c r="J17" i="1"/>
  <c r="I17" i="1"/>
  <c r="H17" i="1"/>
  <c r="G17" i="1"/>
  <c r="E17" i="1"/>
  <c r="D17" i="1"/>
  <c r="C17" i="1"/>
  <c r="B17" i="1"/>
  <c r="J16" i="1"/>
  <c r="I16" i="1"/>
  <c r="H16" i="1"/>
  <c r="G16" i="1"/>
  <c r="E16" i="1"/>
  <c r="D16" i="1"/>
  <c r="C16" i="1"/>
  <c r="B16" i="1"/>
  <c r="Q10" i="1"/>
  <c r="P10" i="1"/>
  <c r="O10" i="1"/>
  <c r="N10" i="1"/>
  <c r="Q9" i="1"/>
  <c r="P9" i="1"/>
  <c r="O9" i="1"/>
  <c r="N9" i="1"/>
  <c r="Q8" i="1"/>
  <c r="P8" i="1"/>
  <c r="O8" i="1"/>
  <c r="N8" i="1"/>
  <c r="Q6" i="1"/>
  <c r="Q7" i="1" s="1"/>
  <c r="P6" i="1"/>
  <c r="P7" i="1" s="1"/>
  <c r="O6" i="1"/>
  <c r="O7" i="1" s="1"/>
  <c r="N6" i="1"/>
  <c r="N7" i="1" s="1"/>
  <c r="K42" i="3" l="1"/>
  <c r="M40" i="3"/>
  <c r="N40" i="3" s="1"/>
  <c r="O40" i="3" s="1"/>
  <c r="M48" i="3"/>
  <c r="L47" i="3"/>
  <c r="M47" i="3" s="1"/>
  <c r="N47" i="3" s="1"/>
  <c r="O47" i="3" s="1"/>
  <c r="AB8" i="3"/>
  <c r="AB10" i="3" s="1"/>
  <c r="AB11" i="3" s="1"/>
  <c r="M34" i="3"/>
  <c r="N32" i="3" s="1"/>
  <c r="O32" i="3" s="1"/>
  <c r="K41" i="3"/>
  <c r="K57" i="3"/>
  <c r="L41" i="3"/>
  <c r="M41" i="3" s="1"/>
  <c r="M33" i="3"/>
  <c r="N33" i="3" s="1"/>
  <c r="O33" i="3" s="1"/>
</calcChain>
</file>

<file path=xl/sharedStrings.xml><?xml version="1.0" encoding="utf-8"?>
<sst xmlns="http://schemas.openxmlformats.org/spreadsheetml/2006/main" count="238" uniqueCount="92">
  <si>
    <t>ANCOVA</t>
  </si>
  <si>
    <t>Score</t>
  </si>
  <si>
    <t>Income</t>
  </si>
  <si>
    <t>Normality</t>
  </si>
  <si>
    <t>Scatter plots</t>
  </si>
  <si>
    <t>Method 1</t>
  </si>
  <si>
    <t>Method 2</t>
  </si>
  <si>
    <t>Method 3</t>
  </si>
  <si>
    <t>Method 4</t>
  </si>
  <si>
    <t>Min</t>
  </si>
  <si>
    <t>Q1-Min</t>
  </si>
  <si>
    <t>Med-Q1</t>
  </si>
  <si>
    <t>Q3-Med</t>
  </si>
  <si>
    <t>Max-Q3</t>
  </si>
  <si>
    <t>mean</t>
  </si>
  <si>
    <t>var</t>
  </si>
  <si>
    <t>Real Statistics Using Excel</t>
  </si>
  <si>
    <t>Updated</t>
  </si>
  <si>
    <t>Copyright © 2013 - 2024 Charles Zaiontz</t>
  </si>
  <si>
    <t>Assumptions for ANCOVA</t>
  </si>
  <si>
    <t>ANCOVA - Regression Approach</t>
  </si>
  <si>
    <t>y</t>
  </si>
  <si>
    <t>x</t>
  </si>
  <si>
    <t>t1</t>
  </si>
  <si>
    <t>t2</t>
  </si>
  <si>
    <t>t3</t>
  </si>
  <si>
    <t>x*t1</t>
  </si>
  <si>
    <t>x*t2</t>
  </si>
  <si>
    <t>x*t3</t>
  </si>
  <si>
    <t>Creation of ANCOVA models</t>
  </si>
  <si>
    <t>SUMMARY OUTPUT (Complete model - y, x, t, x*t)</t>
  </si>
  <si>
    <t>Test for homogeneity of regression slopes</t>
  </si>
  <si>
    <t>ANOVA (Full model - y, x, t)</t>
  </si>
  <si>
    <t>Regression Statistics</t>
  </si>
  <si>
    <t>complete</t>
  </si>
  <si>
    <t>reduced</t>
  </si>
  <si>
    <t>difference</t>
  </si>
  <si>
    <t>df</t>
  </si>
  <si>
    <t>SS</t>
  </si>
  <si>
    <t>MS</t>
  </si>
  <si>
    <t>F</t>
  </si>
  <si>
    <t>Significance F</t>
  </si>
  <si>
    <t>Multiple R</t>
  </si>
  <si>
    <t>R-Square</t>
  </si>
  <si>
    <t>Regression</t>
  </si>
  <si>
    <t>R Square</t>
  </si>
  <si>
    <t>dfE</t>
  </si>
  <si>
    <t>Residual</t>
  </si>
  <si>
    <t>Adjusted R Square</t>
  </si>
  <si>
    <t>Total</t>
  </si>
  <si>
    <t>Standard Error</t>
  </si>
  <si>
    <t>α</t>
  </si>
  <si>
    <t>Observations</t>
  </si>
  <si>
    <t>p-value</t>
  </si>
  <si>
    <t>ANOVA (Reduced model - x, t)</t>
  </si>
  <si>
    <t>sig</t>
  </si>
  <si>
    <t>ANOVA</t>
  </si>
  <si>
    <t>Test using RSquareTest</t>
  </si>
  <si>
    <t>ANOVA (Reduced model - y, t)</t>
  </si>
  <si>
    <t>SUMMARY OUTPUT (Full model - y, x, t)</t>
  </si>
  <si>
    <t>ANOVA (Reduced model - y, x)</t>
  </si>
  <si>
    <t>Source of Variation</t>
  </si>
  <si>
    <t>Covariate</t>
  </si>
  <si>
    <t>Treatment (adj)</t>
  </si>
  <si>
    <t>Coefficients</t>
  </si>
  <si>
    <t>t Stat</t>
  </si>
  <si>
    <t>P-value</t>
  </si>
  <si>
    <t>Lower 95%</t>
  </si>
  <si>
    <t>Upper 95%</t>
  </si>
  <si>
    <t>Intercept</t>
  </si>
  <si>
    <t>ANCOVA (Reduced)</t>
  </si>
  <si>
    <t>Regression (adj)</t>
  </si>
  <si>
    <r>
      <t>SS</t>
    </r>
    <r>
      <rPr>
        <vertAlign val="subscript"/>
        <sz val="11"/>
        <color theme="1"/>
        <rFont val="Aptos Narrow"/>
        <family val="2"/>
        <scheme val="minor"/>
      </rPr>
      <t xml:space="preserve">T </t>
    </r>
    <r>
      <rPr>
        <sz val="11"/>
        <color theme="1"/>
        <rFont val="Aptos Narrow"/>
        <family val="2"/>
        <scheme val="minor"/>
      </rPr>
      <t>(for X)</t>
    </r>
  </si>
  <si>
    <t>Total (adj)</t>
  </si>
  <si>
    <t>SUMMARY OUTPUT (Reduced model - x, t)</t>
  </si>
  <si>
    <r>
      <t>b</t>
    </r>
    <r>
      <rPr>
        <vertAlign val="subscript"/>
        <sz val="11"/>
        <color theme="1"/>
        <rFont val="Aptos Narrow"/>
        <family val="2"/>
        <scheme val="minor"/>
      </rPr>
      <t>T</t>
    </r>
  </si>
  <si>
    <t>Adjusted means</t>
  </si>
  <si>
    <t>ANCOVA (Reduced) - using slope</t>
  </si>
  <si>
    <t>Group</t>
  </si>
  <si>
    <t>Y</t>
  </si>
  <si>
    <t>X</t>
  </si>
  <si>
    <t>Y (adj)</t>
  </si>
  <si>
    <t xml:space="preserve">Effect sizes </t>
  </si>
  <si>
    <t>Effect size - treatment</t>
  </si>
  <si>
    <t xml:space="preserve"> Y (adj)</t>
  </si>
  <si>
    <t>eta-squared</t>
  </si>
  <si>
    <t>partial eta-squared</t>
  </si>
  <si>
    <t>SUMMARY OUTPUT (Reduced model - y, t)</t>
  </si>
  <si>
    <t>Effect size - covariate</t>
  </si>
  <si>
    <t>Effect size - covariate (from regression coefficients)</t>
  </si>
  <si>
    <t>r</t>
  </si>
  <si>
    <t>SUMMARY OUTPUT (Reduced model - y, 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</si>
</sst>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3" fillId="0" borderId="0" xfId="0" applyFont="1"/>
    <xf numFmtId="0" fontId="4" fillId="0" borderId="9" xfId="0" applyFont="1" applyBorder="1" applyAlignment="1">
      <alignment horizontal="centerContinuous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/>
    <xf numFmtId="0" fontId="0" fillId="0" borderId="13" xfId="0" applyBorder="1" applyAlignment="1">
      <alignment horizontal="right"/>
    </xf>
    <xf numFmtId="0" fontId="0" fillId="0" borderId="16" xfId="0" applyBorder="1"/>
    <xf numFmtId="164" fontId="0" fillId="0" borderId="0" xfId="0" applyNumberFormat="1"/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Charts!$M$6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</a:extLst>
          </c:spPr>
          <c:invertIfNegative val="0"/>
          <c:cat>
            <c:strRef>
              <c:f>Charts!$N$5:$Q$5</c:f>
              <c:strCache>
                <c:ptCount val="4"/>
                <c:pt idx="0">
                  <c:v>Method 1</c:v>
                </c:pt>
                <c:pt idx="1">
                  <c:v>Method 2</c:v>
                </c:pt>
                <c:pt idx="2">
                  <c:v>Method 3</c:v>
                </c:pt>
                <c:pt idx="3">
                  <c:v>Method 4</c:v>
                </c:pt>
              </c:strCache>
            </c:strRef>
          </c:cat>
          <c:val>
            <c:numRef>
              <c:f>Charts!$N$6:$Q$6</c:f>
              <c:numCache>
                <c:formatCode>General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A-435D-84B5-2ACFED8DC296}"/>
            </c:ext>
          </c:extLst>
        </c:ser>
        <c:ser>
          <c:idx val="1"/>
          <c:order val="1"/>
          <c:tx>
            <c:strRef>
              <c:f>Charts!$M$7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C0504D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Charts!$N$5:$Q$5</c:f>
              <c:strCache>
                <c:ptCount val="4"/>
                <c:pt idx="0">
                  <c:v>Method 1</c:v>
                </c:pt>
                <c:pt idx="1">
                  <c:v>Method 2</c:v>
                </c:pt>
                <c:pt idx="2">
                  <c:v>Method 3</c:v>
                </c:pt>
                <c:pt idx="3">
                  <c:v>Method 4</c:v>
                </c:pt>
              </c:strCache>
            </c:strRef>
          </c:cat>
          <c:val>
            <c:numRef>
              <c:f>Charts!$N$7:$Q$7</c:f>
              <c:numCache>
                <c:formatCode>General</c:formatCode>
                <c:ptCount val="4"/>
                <c:pt idx="0">
                  <c:v>6.25</c:v>
                </c:pt>
                <c:pt idx="1">
                  <c:v>16</c:v>
                </c:pt>
                <c:pt idx="2">
                  <c:v>4.5</c:v>
                </c:pt>
                <c:pt idx="3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A-435D-84B5-2ACFED8DC296}"/>
            </c:ext>
          </c:extLst>
        </c:ser>
        <c:ser>
          <c:idx val="2"/>
          <c:order val="2"/>
          <c:tx>
            <c:strRef>
              <c:f>Charts!$M$8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Charts!$N$5:$Q$5</c:f>
              <c:strCache>
                <c:ptCount val="4"/>
                <c:pt idx="0">
                  <c:v>Method 1</c:v>
                </c:pt>
                <c:pt idx="1">
                  <c:v>Method 2</c:v>
                </c:pt>
                <c:pt idx="2">
                  <c:v>Method 3</c:v>
                </c:pt>
                <c:pt idx="3">
                  <c:v>Method 4</c:v>
                </c:pt>
              </c:strCache>
            </c:strRef>
          </c:cat>
          <c:val>
            <c:numRef>
              <c:f>Charts!$N$8:$Q$8</c:f>
              <c:numCache>
                <c:formatCode>General</c:formatCode>
                <c:ptCount val="4"/>
                <c:pt idx="0">
                  <c:v>6.75</c:v>
                </c:pt>
                <c:pt idx="1">
                  <c:v>7</c:v>
                </c:pt>
                <c:pt idx="2">
                  <c:v>7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A-435D-84B5-2ACFED8DC296}"/>
            </c:ext>
          </c:extLst>
        </c:ser>
        <c:ser>
          <c:idx val="3"/>
          <c:order val="3"/>
          <c:tx>
            <c:strRef>
              <c:f>Charts!$M$9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Charts!$N$10:$Q$10</c:f>
                <c:numCache>
                  <c:formatCode>General</c:formatCode>
                  <c:ptCount val="4"/>
                  <c:pt idx="0">
                    <c:v>6.75</c:v>
                  </c:pt>
                  <c:pt idx="1">
                    <c:v>8.75</c:v>
                  </c:pt>
                  <c:pt idx="2">
                    <c:v>12.75</c:v>
                  </c:pt>
                  <c:pt idx="3">
                    <c:v>7</c:v>
                  </c:pt>
                </c:numCache>
              </c:numRef>
            </c:plus>
          </c:errBars>
          <c:cat>
            <c:strRef>
              <c:f>Charts!$N$5:$Q$5</c:f>
              <c:strCache>
                <c:ptCount val="4"/>
                <c:pt idx="0">
                  <c:v>Method 1</c:v>
                </c:pt>
                <c:pt idx="1">
                  <c:v>Method 2</c:v>
                </c:pt>
                <c:pt idx="2">
                  <c:v>Method 3</c:v>
                </c:pt>
                <c:pt idx="3">
                  <c:v>Method 4</c:v>
                </c:pt>
              </c:strCache>
            </c:strRef>
          </c:cat>
          <c:val>
            <c:numRef>
              <c:f>Charts!$N$9:$Q$9</c:f>
              <c:numCache>
                <c:formatCode>General</c:formatCode>
                <c:ptCount val="4"/>
                <c:pt idx="0">
                  <c:v>11.25</c:v>
                </c:pt>
                <c:pt idx="1">
                  <c:v>5.25</c:v>
                </c:pt>
                <c:pt idx="2">
                  <c:v>8.75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DA-435D-84B5-2ACFED8DC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8912168"/>
        <c:axId val="678913344"/>
      </c:barChart>
      <c:catAx>
        <c:axId val="678912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8913344"/>
        <c:crosses val="autoZero"/>
        <c:auto val="1"/>
        <c:lblAlgn val="ctr"/>
        <c:lblOffset val="100"/>
        <c:noMultiLvlLbl val="0"/>
      </c:catAx>
      <c:valAx>
        <c:axId val="67891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8912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Method 1</c:v>
          </c:tx>
          <c:spPr>
            <a:ln w="28575">
              <a:noFill/>
            </a:ln>
          </c:spP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xVal>
            <c:numRef>
              <c:f>Charts!$T$6:$T$13</c:f>
              <c:numCache>
                <c:formatCode>General</c:formatCode>
                <c:ptCount val="8"/>
                <c:pt idx="0">
                  <c:v>17.5</c:v>
                </c:pt>
                <c:pt idx="1">
                  <c:v>104.60000000000001</c:v>
                </c:pt>
                <c:pt idx="2">
                  <c:v>64.7</c:v>
                </c:pt>
                <c:pt idx="3">
                  <c:v>47</c:v>
                </c:pt>
                <c:pt idx="4">
                  <c:v>22</c:v>
                </c:pt>
                <c:pt idx="5">
                  <c:v>12.4</c:v>
                </c:pt>
                <c:pt idx="6">
                  <c:v>20</c:v>
                </c:pt>
                <c:pt idx="7">
                  <c:v>79.7</c:v>
                </c:pt>
              </c:numCache>
            </c:numRef>
          </c:xVal>
          <c:yVal>
            <c:numRef>
              <c:f>Charts!$U$6:$U$13</c:f>
              <c:numCache>
                <c:formatCode>General</c:formatCode>
                <c:ptCount val="8"/>
                <c:pt idx="0">
                  <c:v>12</c:v>
                </c:pt>
                <c:pt idx="1">
                  <c:v>39</c:v>
                </c:pt>
                <c:pt idx="2">
                  <c:v>36</c:v>
                </c:pt>
                <c:pt idx="3">
                  <c:v>17</c:v>
                </c:pt>
                <c:pt idx="4">
                  <c:v>25</c:v>
                </c:pt>
                <c:pt idx="5">
                  <c:v>15</c:v>
                </c:pt>
                <c:pt idx="6">
                  <c:v>8</c:v>
                </c:pt>
                <c:pt idx="7">
                  <c:v>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DE-47A0-AC9C-3F0F29DE85F7}"/>
            </c:ext>
          </c:extLst>
        </c:ser>
        <c:ser>
          <c:idx val="1"/>
          <c:order val="1"/>
          <c:tx>
            <c:v>Method 2</c:v>
          </c:tx>
          <c:spPr>
            <a:ln w="28575">
              <a:noFill/>
            </a:ln>
          </c:spPr>
          <c:trendline>
            <c:spPr>
              <a:ln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xVal>
            <c:numRef>
              <c:f>Charts!$V$6:$V$13</c:f>
              <c:numCache>
                <c:formatCode>General</c:formatCode>
                <c:ptCount val="8"/>
                <c:pt idx="0">
                  <c:v>70.8</c:v>
                </c:pt>
                <c:pt idx="1">
                  <c:v>45.9</c:v>
                </c:pt>
                <c:pt idx="2">
                  <c:v>47.5</c:v>
                </c:pt>
                <c:pt idx="3">
                  <c:v>77.8</c:v>
                </c:pt>
                <c:pt idx="4">
                  <c:v>70.900000000000006</c:v>
                </c:pt>
                <c:pt idx="5">
                  <c:v>84.8</c:v>
                </c:pt>
                <c:pt idx="6">
                  <c:v>49.8</c:v>
                </c:pt>
                <c:pt idx="7">
                  <c:v>34.599999999999994</c:v>
                </c:pt>
              </c:numCache>
            </c:numRef>
          </c:xVal>
          <c:yVal>
            <c:numRef>
              <c:f>Charts!$W$6:$W$13</c:f>
              <c:numCache>
                <c:formatCode>General</c:formatCode>
                <c:ptCount val="8"/>
                <c:pt idx="0">
                  <c:v>45</c:v>
                </c:pt>
                <c:pt idx="1">
                  <c:v>37</c:v>
                </c:pt>
                <c:pt idx="2">
                  <c:v>13</c:v>
                </c:pt>
                <c:pt idx="3">
                  <c:v>50</c:v>
                </c:pt>
                <c:pt idx="4">
                  <c:v>35</c:v>
                </c:pt>
                <c:pt idx="5">
                  <c:v>40</c:v>
                </c:pt>
                <c:pt idx="6">
                  <c:v>33</c:v>
                </c:pt>
                <c:pt idx="7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DE-47A0-AC9C-3F0F29DE85F7}"/>
            </c:ext>
          </c:extLst>
        </c:ser>
        <c:ser>
          <c:idx val="2"/>
          <c:order val="2"/>
          <c:tx>
            <c:v>Method 3</c:v>
          </c:tx>
          <c:spPr>
            <a:ln w="28575">
              <a:noFill/>
            </a:ln>
          </c:spPr>
          <c:trendline>
            <c:spPr>
              <a:ln>
                <a:solidFill>
                  <a:schemeClr val="accent3"/>
                </a:solidFill>
              </a:ln>
            </c:spPr>
            <c:trendlineType val="linear"/>
            <c:dispRSqr val="0"/>
            <c:dispEq val="0"/>
          </c:trendline>
          <c:xVal>
            <c:numRef>
              <c:f>Charts!$X$6:$X$15</c:f>
              <c:numCache>
                <c:formatCode>General</c:formatCode>
                <c:ptCount val="10"/>
                <c:pt idx="0">
                  <c:v>71.400000000000006</c:v>
                </c:pt>
                <c:pt idx="1">
                  <c:v>55</c:v>
                </c:pt>
                <c:pt idx="2">
                  <c:v>54</c:v>
                </c:pt>
                <c:pt idx="3">
                  <c:v>27.9</c:v>
                </c:pt>
                <c:pt idx="4">
                  <c:v>40.599999999999994</c:v>
                </c:pt>
                <c:pt idx="5">
                  <c:v>33</c:v>
                </c:pt>
                <c:pt idx="6">
                  <c:v>22.2</c:v>
                </c:pt>
                <c:pt idx="7">
                  <c:v>80.5</c:v>
                </c:pt>
                <c:pt idx="8">
                  <c:v>80</c:v>
                </c:pt>
                <c:pt idx="9">
                  <c:v>41</c:v>
                </c:pt>
              </c:numCache>
            </c:numRef>
          </c:xVal>
          <c:yVal>
            <c:numRef>
              <c:f>Charts!$Y$6:$Y$15</c:f>
              <c:numCache>
                <c:formatCode>General</c:formatCode>
                <c:ptCount val="10"/>
                <c:pt idx="0">
                  <c:v>20</c:v>
                </c:pt>
                <c:pt idx="1">
                  <c:v>42</c:v>
                </c:pt>
                <c:pt idx="2">
                  <c:v>31</c:v>
                </c:pt>
                <c:pt idx="3">
                  <c:v>24</c:v>
                </c:pt>
                <c:pt idx="4">
                  <c:v>15</c:v>
                </c:pt>
                <c:pt idx="5">
                  <c:v>13</c:v>
                </c:pt>
                <c:pt idx="6">
                  <c:v>9</c:v>
                </c:pt>
                <c:pt idx="7">
                  <c:v>21</c:v>
                </c:pt>
                <c:pt idx="8">
                  <c:v>31</c:v>
                </c:pt>
                <c:pt idx="9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DE-47A0-AC9C-3F0F29DE85F7}"/>
            </c:ext>
          </c:extLst>
        </c:ser>
        <c:ser>
          <c:idx val="3"/>
          <c:order val="3"/>
          <c:tx>
            <c:v>Method 4</c:v>
          </c:tx>
          <c:spPr>
            <a:ln w="28575">
              <a:noFill/>
            </a:ln>
          </c:spPr>
          <c:marker>
            <c:symbol val="circle"/>
            <c:size val="7"/>
          </c:marker>
          <c:trendline>
            <c:spPr>
              <a:ln>
                <a:solidFill>
                  <a:schemeClr val="accent4"/>
                </a:solidFill>
              </a:ln>
            </c:spPr>
            <c:trendlineType val="linear"/>
            <c:dispRSqr val="0"/>
            <c:dispEq val="0"/>
          </c:trendline>
          <c:xVal>
            <c:numRef>
              <c:f>Charts!$Z$6:$Z$15</c:f>
              <c:numCache>
                <c:formatCode>General</c:formatCode>
                <c:ptCount val="10"/>
                <c:pt idx="0">
                  <c:v>35</c:v>
                </c:pt>
                <c:pt idx="1">
                  <c:v>33</c:v>
                </c:pt>
                <c:pt idx="2">
                  <c:v>34.200000000000003</c:v>
                </c:pt>
                <c:pt idx="3">
                  <c:v>43.2</c:v>
                </c:pt>
                <c:pt idx="4">
                  <c:v>20</c:v>
                </c:pt>
                <c:pt idx="5">
                  <c:v>37</c:v>
                </c:pt>
                <c:pt idx="6">
                  <c:v>28.2</c:v>
                </c:pt>
                <c:pt idx="7">
                  <c:v>46.400000000000006</c:v>
                </c:pt>
                <c:pt idx="8">
                  <c:v>64.900000000000006</c:v>
                </c:pt>
                <c:pt idx="9">
                  <c:v>59.4</c:v>
                </c:pt>
              </c:numCache>
            </c:numRef>
          </c:xVal>
          <c:yVal>
            <c:numRef>
              <c:f>Charts!$AA$6:$AA$15</c:f>
              <c:numCache>
                <c:formatCode>General</c:formatCode>
                <c:ptCount val="10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18</c:v>
                </c:pt>
                <c:pt idx="4">
                  <c:v>14</c:v>
                </c:pt>
                <c:pt idx="5">
                  <c:v>8</c:v>
                </c:pt>
                <c:pt idx="6">
                  <c:v>7</c:v>
                </c:pt>
                <c:pt idx="7">
                  <c:v>19</c:v>
                </c:pt>
                <c:pt idx="8">
                  <c:v>25</c:v>
                </c:pt>
                <c:pt idx="9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DE-47A0-AC9C-3F0F29DE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69552"/>
        <c:axId val="684268376"/>
      </c:scatterChart>
      <c:valAx>
        <c:axId val="68426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4268376"/>
        <c:crosses val="autoZero"/>
        <c:crossBetween val="midCat"/>
      </c:valAx>
      <c:valAx>
        <c:axId val="684268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4269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10</xdr:row>
      <xdr:rowOff>128587</xdr:rowOff>
    </xdr:from>
    <xdr:to>
      <xdr:col>18</xdr:col>
      <xdr:colOff>266699</xdr:colOff>
      <xdr:row>22</xdr:row>
      <xdr:rowOff>180022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BC3A65-D063-4BEB-A1DA-368144280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47625</xdr:colOff>
      <xdr:row>15</xdr:row>
      <xdr:rowOff>166687</xdr:rowOff>
    </xdr:from>
    <xdr:to>
      <xdr:col>26</xdr:col>
      <xdr:colOff>352425</xdr:colOff>
      <xdr:row>30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5A790B-04C2-44A1-85D5-B3E98CB9F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%20Detailed/ANCOVA.xlsx" TargetMode="External"/><Relationship Id="rId1" Type="http://schemas.openxmlformats.org/officeDocument/2006/relationships/externalLinkPath" Target="ANC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COVA 1"/>
      <sheetName val="ANCOVA 2"/>
      <sheetName val="ANCOVA 3"/>
      <sheetName val="ANCOVA 4"/>
      <sheetName val="ANCOVA Contrasts"/>
      <sheetName val="ANCOVA Tukey"/>
      <sheetName val="ANCOVA Std"/>
      <sheetName val="ANCOVA Std 1"/>
      <sheetName val="ANCOVA A"/>
      <sheetName val="ANCOVA B"/>
      <sheetName val="ANCOVA C"/>
      <sheetName val="ANCOVA D"/>
      <sheetName val="ANCOVA E"/>
      <sheetName val="ANCOVA F"/>
      <sheetName val="ANCOVA G"/>
      <sheetName val="ANCOVA H"/>
      <sheetName val="Sheet1"/>
    </sheetNames>
    <sheetDataSet>
      <sheetData sheetId="0">
        <row r="5">
          <cell r="N5" t="str">
            <v>Method 1</v>
          </cell>
          <cell r="O5" t="str">
            <v>Method 2</v>
          </cell>
          <cell r="P5" t="str">
            <v>Method 3</v>
          </cell>
          <cell r="Q5" t="str">
            <v>Method 4</v>
          </cell>
        </row>
        <row r="6">
          <cell r="M6" t="str">
            <v>Min</v>
          </cell>
          <cell r="N6">
            <v>8</v>
          </cell>
          <cell r="O6">
            <v>13</v>
          </cell>
          <cell r="P6">
            <v>9</v>
          </cell>
          <cell r="Q6">
            <v>7</v>
          </cell>
          <cell r="T6">
            <v>17.5</v>
          </cell>
          <cell r="U6">
            <v>12</v>
          </cell>
          <cell r="V6">
            <v>70.8</v>
          </cell>
          <cell r="W6">
            <v>45</v>
          </cell>
          <cell r="X6">
            <v>71.400000000000006</v>
          </cell>
          <cell r="Y6">
            <v>20</v>
          </cell>
          <cell r="Z6">
            <v>35</v>
          </cell>
          <cell r="AA6">
            <v>12</v>
          </cell>
        </row>
        <row r="7">
          <cell r="M7" t="str">
            <v>Q1-Min</v>
          </cell>
          <cell r="N7">
            <v>6.25</v>
          </cell>
          <cell r="O7">
            <v>16</v>
          </cell>
          <cell r="P7">
            <v>4.5</v>
          </cell>
          <cell r="Q7">
            <v>3.5</v>
          </cell>
          <cell r="T7">
            <v>104.60000000000001</v>
          </cell>
          <cell r="U7">
            <v>39</v>
          </cell>
          <cell r="V7">
            <v>45.9</v>
          </cell>
          <cell r="W7">
            <v>37</v>
          </cell>
          <cell r="X7">
            <v>55</v>
          </cell>
          <cell r="Y7">
            <v>42</v>
          </cell>
          <cell r="Z7">
            <v>33</v>
          </cell>
          <cell r="AA7">
            <v>10</v>
          </cell>
        </row>
        <row r="8">
          <cell r="M8" t="str">
            <v>Med-Q1</v>
          </cell>
          <cell r="N8">
            <v>6.75</v>
          </cell>
          <cell r="O8">
            <v>7</v>
          </cell>
          <cell r="P8">
            <v>7</v>
          </cell>
          <cell r="Q8">
            <v>5.5</v>
          </cell>
          <cell r="T8">
            <v>64.7</v>
          </cell>
          <cell r="U8">
            <v>36</v>
          </cell>
          <cell r="V8">
            <v>47.5</v>
          </cell>
          <cell r="W8">
            <v>13</v>
          </cell>
          <cell r="X8">
            <v>54</v>
          </cell>
          <cell r="Y8">
            <v>31</v>
          </cell>
          <cell r="Z8">
            <v>34.200000000000003</v>
          </cell>
          <cell r="AA8">
            <v>19</v>
          </cell>
        </row>
        <row r="9">
          <cell r="M9" t="str">
            <v>Q3-Med</v>
          </cell>
          <cell r="N9">
            <v>11.25</v>
          </cell>
          <cell r="O9">
            <v>5.25</v>
          </cell>
          <cell r="P9">
            <v>8.75</v>
          </cell>
          <cell r="Q9">
            <v>3</v>
          </cell>
          <cell r="T9">
            <v>47</v>
          </cell>
          <cell r="U9">
            <v>17</v>
          </cell>
          <cell r="V9">
            <v>77.8</v>
          </cell>
          <cell r="W9">
            <v>50</v>
          </cell>
          <cell r="X9">
            <v>27.9</v>
          </cell>
          <cell r="Y9">
            <v>24</v>
          </cell>
          <cell r="Z9">
            <v>43.2</v>
          </cell>
          <cell r="AA9">
            <v>18</v>
          </cell>
        </row>
        <row r="10">
          <cell r="N10">
            <v>6.75</v>
          </cell>
          <cell r="O10">
            <v>8.75</v>
          </cell>
          <cell r="P10">
            <v>12.75</v>
          </cell>
          <cell r="Q10">
            <v>7</v>
          </cell>
          <cell r="T10">
            <v>22</v>
          </cell>
          <cell r="U10">
            <v>25</v>
          </cell>
          <cell r="V10">
            <v>70.900000000000006</v>
          </cell>
          <cell r="W10">
            <v>35</v>
          </cell>
          <cell r="X10">
            <v>40.599999999999994</v>
          </cell>
          <cell r="Y10">
            <v>15</v>
          </cell>
          <cell r="Z10">
            <v>20</v>
          </cell>
          <cell r="AA10">
            <v>14</v>
          </cell>
        </row>
        <row r="11">
          <cell r="T11">
            <v>12.4</v>
          </cell>
          <cell r="U11">
            <v>15</v>
          </cell>
          <cell r="V11">
            <v>84.8</v>
          </cell>
          <cell r="W11">
            <v>40</v>
          </cell>
          <cell r="X11">
            <v>33</v>
          </cell>
          <cell r="Y11">
            <v>13</v>
          </cell>
          <cell r="Z11">
            <v>37</v>
          </cell>
          <cell r="AA11">
            <v>8</v>
          </cell>
        </row>
        <row r="12">
          <cell r="T12">
            <v>20</v>
          </cell>
          <cell r="U12">
            <v>8</v>
          </cell>
          <cell r="V12">
            <v>49.8</v>
          </cell>
          <cell r="W12">
            <v>33</v>
          </cell>
          <cell r="X12">
            <v>22.2</v>
          </cell>
          <cell r="Y12">
            <v>9</v>
          </cell>
          <cell r="Z12">
            <v>28.2</v>
          </cell>
          <cell r="AA12">
            <v>7</v>
          </cell>
        </row>
        <row r="13">
          <cell r="T13">
            <v>79.7</v>
          </cell>
          <cell r="U13">
            <v>31</v>
          </cell>
          <cell r="V13">
            <v>34.599999999999994</v>
          </cell>
          <cell r="W13">
            <v>17</v>
          </cell>
          <cell r="X13">
            <v>80.5</v>
          </cell>
          <cell r="Y13">
            <v>21</v>
          </cell>
          <cell r="Z13">
            <v>46.400000000000006</v>
          </cell>
          <cell r="AA13">
            <v>19</v>
          </cell>
        </row>
        <row r="14">
          <cell r="X14">
            <v>80</v>
          </cell>
          <cell r="Y14">
            <v>31</v>
          </cell>
          <cell r="Z14">
            <v>64.900000000000006</v>
          </cell>
          <cell r="AA14">
            <v>25</v>
          </cell>
        </row>
        <row r="15">
          <cell r="X15">
            <v>41</v>
          </cell>
          <cell r="Y15">
            <v>13</v>
          </cell>
          <cell r="Z15">
            <v>59.4</v>
          </cell>
          <cell r="AA15">
            <v>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31BE4-591E-491B-AD9C-AA1C03820B31}">
  <sheetPr codeName="Sheet1"/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16</v>
      </c>
    </row>
    <row r="2" spans="1:2" x14ac:dyDescent="0.35">
      <c r="A2" t="s">
        <v>19</v>
      </c>
    </row>
    <row r="4" spans="1:2" x14ac:dyDescent="0.35">
      <c r="A4" t="s">
        <v>17</v>
      </c>
      <c r="B4" s="14">
        <v>45614</v>
      </c>
    </row>
    <row r="6" spans="1:2" x14ac:dyDescent="0.35">
      <c r="A6" s="15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1624-684E-44C6-860B-BB32D2476DB4}">
  <sheetPr codeName="Sheet185"/>
  <dimension ref="A1:AA17"/>
  <sheetViews>
    <sheetView workbookViewId="0"/>
  </sheetViews>
  <sheetFormatPr defaultRowHeight="14.5" x14ac:dyDescent="0.35"/>
  <cols>
    <col min="1" max="1" width="5.81640625" customWidth="1"/>
    <col min="2" max="5" width="10.1796875" customWidth="1"/>
    <col min="6" max="6" width="10.7265625" customWidth="1"/>
    <col min="7" max="12" width="10.1796875" customWidth="1"/>
  </cols>
  <sheetData>
    <row r="1" spans="1:27" x14ac:dyDescent="0.35">
      <c r="A1" s="1" t="s">
        <v>0</v>
      </c>
    </row>
    <row r="3" spans="1:27" x14ac:dyDescent="0.35">
      <c r="B3" t="s">
        <v>1</v>
      </c>
      <c r="G3" t="s">
        <v>2</v>
      </c>
      <c r="M3" t="s">
        <v>3</v>
      </c>
      <c r="T3" t="s">
        <v>4</v>
      </c>
    </row>
    <row r="5" spans="1:27" x14ac:dyDescent="0.35">
      <c r="B5" s="2" t="s">
        <v>5</v>
      </c>
      <c r="C5" s="2" t="s">
        <v>6</v>
      </c>
      <c r="D5" s="2" t="s">
        <v>7</v>
      </c>
      <c r="E5" s="3" t="s">
        <v>8</v>
      </c>
      <c r="G5" s="2" t="s">
        <v>5</v>
      </c>
      <c r="H5" s="2" t="s">
        <v>6</v>
      </c>
      <c r="I5" s="2" t="s">
        <v>7</v>
      </c>
      <c r="J5" s="3" t="s">
        <v>8</v>
      </c>
      <c r="K5" s="4"/>
      <c r="N5" s="2" t="s">
        <v>5</v>
      </c>
      <c r="O5" s="2" t="s">
        <v>6</v>
      </c>
      <c r="P5" s="2" t="s">
        <v>7</v>
      </c>
      <c r="Q5" s="3" t="s">
        <v>8</v>
      </c>
      <c r="T5" s="5" t="s">
        <v>5</v>
      </c>
      <c r="U5" s="6"/>
      <c r="V5" s="5" t="s">
        <v>6</v>
      </c>
      <c r="W5" s="6"/>
      <c r="X5" s="5" t="s">
        <v>7</v>
      </c>
      <c r="Y5" s="6"/>
      <c r="Z5" s="7" t="s">
        <v>8</v>
      </c>
      <c r="AA5" s="8"/>
    </row>
    <row r="6" spans="1:27" x14ac:dyDescent="0.35">
      <c r="B6">
        <v>12</v>
      </c>
      <c r="C6">
        <v>45</v>
      </c>
      <c r="D6">
        <v>20</v>
      </c>
      <c r="E6">
        <v>12</v>
      </c>
      <c r="G6">
        <v>17.5</v>
      </c>
      <c r="H6">
        <v>70.8</v>
      </c>
      <c r="I6">
        <v>71.400000000000006</v>
      </c>
      <c r="J6">
        <v>35</v>
      </c>
      <c r="M6" t="s">
        <v>9</v>
      </c>
      <c r="N6">
        <f>MIN(B6:B15)</f>
        <v>8</v>
      </c>
      <c r="O6">
        <f>MIN(C6:C15)</f>
        <v>13</v>
      </c>
      <c r="P6">
        <f>MIN(D6:D15)</f>
        <v>9</v>
      </c>
      <c r="Q6">
        <f>MIN(E6:E15)</f>
        <v>7</v>
      </c>
      <c r="T6" s="9">
        <v>17.5</v>
      </c>
      <c r="U6" s="10">
        <v>12</v>
      </c>
      <c r="V6" s="9">
        <v>70.8</v>
      </c>
      <c r="W6" s="10">
        <v>45</v>
      </c>
      <c r="X6" s="9">
        <v>71.400000000000006</v>
      </c>
      <c r="Y6" s="10">
        <v>20</v>
      </c>
      <c r="Z6" s="9">
        <v>35</v>
      </c>
      <c r="AA6" s="10">
        <v>12</v>
      </c>
    </row>
    <row r="7" spans="1:27" x14ac:dyDescent="0.35">
      <c r="B7">
        <v>39</v>
      </c>
      <c r="C7">
        <v>37</v>
      </c>
      <c r="D7">
        <v>42</v>
      </c>
      <c r="E7">
        <v>10</v>
      </c>
      <c r="G7">
        <v>104.60000000000001</v>
      </c>
      <c r="H7">
        <v>45.9</v>
      </c>
      <c r="I7">
        <v>55</v>
      </c>
      <c r="J7">
        <v>33</v>
      </c>
      <c r="M7" t="s">
        <v>10</v>
      </c>
      <c r="N7">
        <f>QUARTILE(B6:B15,1)-N6</f>
        <v>6.25</v>
      </c>
      <c r="O7">
        <f>QUARTILE(C6:C15,1)-O6</f>
        <v>16</v>
      </c>
      <c r="P7">
        <f>QUARTILE(D6:D15,1)-P6</f>
        <v>4.5</v>
      </c>
      <c r="Q7">
        <f>QUARTILE(E6:E15,1)-Q6</f>
        <v>3.5</v>
      </c>
      <c r="T7" s="9">
        <v>104.60000000000001</v>
      </c>
      <c r="U7" s="10">
        <v>39</v>
      </c>
      <c r="V7" s="9">
        <v>45.9</v>
      </c>
      <c r="W7" s="10">
        <v>37</v>
      </c>
      <c r="X7" s="9">
        <v>55</v>
      </c>
      <c r="Y7" s="10">
        <v>42</v>
      </c>
      <c r="Z7" s="9">
        <v>33</v>
      </c>
      <c r="AA7" s="10">
        <v>10</v>
      </c>
    </row>
    <row r="8" spans="1:27" x14ac:dyDescent="0.35">
      <c r="B8">
        <v>36</v>
      </c>
      <c r="C8">
        <v>13</v>
      </c>
      <c r="D8">
        <v>31</v>
      </c>
      <c r="E8">
        <v>19</v>
      </c>
      <c r="G8">
        <v>64.7</v>
      </c>
      <c r="H8">
        <v>47.5</v>
      </c>
      <c r="I8">
        <v>54</v>
      </c>
      <c r="J8">
        <v>34.200000000000003</v>
      </c>
      <c r="M8" t="s">
        <v>11</v>
      </c>
      <c r="N8">
        <f>MEDIAN(B6:B15)-QUARTILE(B6:B15,1)</f>
        <v>6.75</v>
      </c>
      <c r="O8">
        <f>MEDIAN(C6:C15)-QUARTILE(C6:C15,1)</f>
        <v>7</v>
      </c>
      <c r="P8">
        <f>MEDIAN(D6:D15)-QUARTILE(D6:D15,1)</f>
        <v>7</v>
      </c>
      <c r="Q8">
        <f>MEDIAN(E6:E15)-QUARTILE(E6:E15,1)</f>
        <v>5.5</v>
      </c>
      <c r="T8" s="9">
        <v>64.7</v>
      </c>
      <c r="U8" s="10">
        <v>36</v>
      </c>
      <c r="V8" s="9">
        <v>47.5</v>
      </c>
      <c r="W8" s="10">
        <v>13</v>
      </c>
      <c r="X8" s="9">
        <v>54</v>
      </c>
      <c r="Y8" s="10">
        <v>31</v>
      </c>
      <c r="Z8" s="9">
        <v>34.200000000000003</v>
      </c>
      <c r="AA8" s="10">
        <v>19</v>
      </c>
    </row>
    <row r="9" spans="1:27" x14ac:dyDescent="0.35">
      <c r="B9">
        <v>17</v>
      </c>
      <c r="C9">
        <v>50</v>
      </c>
      <c r="D9">
        <v>24</v>
      </c>
      <c r="E9">
        <v>18</v>
      </c>
      <c r="G9">
        <v>47</v>
      </c>
      <c r="H9">
        <v>77.8</v>
      </c>
      <c r="I9">
        <v>27.9</v>
      </c>
      <c r="J9">
        <v>43.2</v>
      </c>
      <c r="M9" t="s">
        <v>12</v>
      </c>
      <c r="N9">
        <f>QUARTILE(B6:B15,3)-MEDIAN(B6:B15)</f>
        <v>11.25</v>
      </c>
      <c r="O9">
        <f>QUARTILE(C6:C15,3)-MEDIAN(C6:C15)</f>
        <v>5.25</v>
      </c>
      <c r="P9">
        <f>QUARTILE(D6:D15,3)-MEDIAN(D6:D15)</f>
        <v>8.75</v>
      </c>
      <c r="Q9">
        <f>QUARTILE(E6:E15,3)-MEDIAN(E6:E15)</f>
        <v>3</v>
      </c>
      <c r="T9" s="9">
        <v>47</v>
      </c>
      <c r="U9" s="10">
        <v>17</v>
      </c>
      <c r="V9" s="9">
        <v>77.8</v>
      </c>
      <c r="W9" s="10">
        <v>50</v>
      </c>
      <c r="X9" s="9">
        <v>27.9</v>
      </c>
      <c r="Y9" s="10">
        <v>24</v>
      </c>
      <c r="Z9" s="9">
        <v>43.2</v>
      </c>
      <c r="AA9" s="10">
        <v>18</v>
      </c>
    </row>
    <row r="10" spans="1:27" x14ac:dyDescent="0.35">
      <c r="B10">
        <v>25</v>
      </c>
      <c r="C10">
        <v>35</v>
      </c>
      <c r="D10">
        <v>15</v>
      </c>
      <c r="E10">
        <v>14</v>
      </c>
      <c r="G10">
        <v>22</v>
      </c>
      <c r="H10">
        <v>70.900000000000006</v>
      </c>
      <c r="I10">
        <v>40.599999999999994</v>
      </c>
      <c r="J10">
        <v>20</v>
      </c>
      <c r="M10" t="s">
        <v>13</v>
      </c>
      <c r="N10">
        <f>MAX(B6:B15)-QUARTILE(B6:B15,3)</f>
        <v>6.75</v>
      </c>
      <c r="O10">
        <f>MAX(C6:C15)-QUARTILE(C6:C15,3)</f>
        <v>8.75</v>
      </c>
      <c r="P10">
        <f>MAX(D6:D15)-QUARTILE(D6:D15,3)</f>
        <v>12.75</v>
      </c>
      <c r="Q10">
        <f>MAX(E6:E15)-QUARTILE(E6:E15,3)</f>
        <v>7</v>
      </c>
      <c r="T10" s="9">
        <v>22</v>
      </c>
      <c r="U10" s="10">
        <v>25</v>
      </c>
      <c r="V10" s="9">
        <v>70.900000000000006</v>
      </c>
      <c r="W10" s="10">
        <v>35</v>
      </c>
      <c r="X10" s="9">
        <v>40.599999999999994</v>
      </c>
      <c r="Y10" s="10">
        <v>15</v>
      </c>
      <c r="Z10" s="9">
        <v>20</v>
      </c>
      <c r="AA10" s="10">
        <v>14</v>
      </c>
    </row>
    <row r="11" spans="1:27" x14ac:dyDescent="0.35">
      <c r="B11">
        <v>15</v>
      </c>
      <c r="C11">
        <v>40</v>
      </c>
      <c r="D11">
        <v>13</v>
      </c>
      <c r="E11">
        <v>8</v>
      </c>
      <c r="G11">
        <v>12.4</v>
      </c>
      <c r="H11">
        <v>84.8</v>
      </c>
      <c r="I11">
        <v>33</v>
      </c>
      <c r="J11">
        <v>37</v>
      </c>
      <c r="T11" s="9">
        <v>12.4</v>
      </c>
      <c r="U11" s="10">
        <v>15</v>
      </c>
      <c r="V11" s="9">
        <v>84.8</v>
      </c>
      <c r="W11" s="10">
        <v>40</v>
      </c>
      <c r="X11" s="9">
        <v>33</v>
      </c>
      <c r="Y11" s="10">
        <v>13</v>
      </c>
      <c r="Z11" s="9">
        <v>37</v>
      </c>
      <c r="AA11" s="10">
        <v>8</v>
      </c>
    </row>
    <row r="12" spans="1:27" x14ac:dyDescent="0.35">
      <c r="B12">
        <v>8</v>
      </c>
      <c r="C12">
        <v>33</v>
      </c>
      <c r="D12">
        <v>9</v>
      </c>
      <c r="E12">
        <v>7</v>
      </c>
      <c r="G12">
        <v>20</v>
      </c>
      <c r="H12">
        <v>49.8</v>
      </c>
      <c r="I12">
        <v>22.2</v>
      </c>
      <c r="J12">
        <v>28.2</v>
      </c>
      <c r="T12" s="9">
        <v>20</v>
      </c>
      <c r="U12" s="10">
        <v>8</v>
      </c>
      <c r="V12" s="9">
        <v>49.8</v>
      </c>
      <c r="W12" s="10">
        <v>33</v>
      </c>
      <c r="X12" s="9">
        <v>22.2</v>
      </c>
      <c r="Y12" s="10">
        <v>9</v>
      </c>
      <c r="Z12" s="9">
        <v>28.2</v>
      </c>
      <c r="AA12" s="10">
        <v>7</v>
      </c>
    </row>
    <row r="13" spans="1:27" x14ac:dyDescent="0.35">
      <c r="B13">
        <v>31</v>
      </c>
      <c r="C13">
        <v>17</v>
      </c>
      <c r="D13">
        <v>21</v>
      </c>
      <c r="E13">
        <v>19</v>
      </c>
      <c r="G13">
        <v>79.7</v>
      </c>
      <c r="H13">
        <v>34.599999999999994</v>
      </c>
      <c r="I13">
        <v>80.5</v>
      </c>
      <c r="J13">
        <v>46.400000000000006</v>
      </c>
      <c r="T13" s="9">
        <v>79.7</v>
      </c>
      <c r="U13" s="10">
        <v>31</v>
      </c>
      <c r="V13" s="9">
        <v>34.599999999999994</v>
      </c>
      <c r="W13" s="10">
        <v>17</v>
      </c>
      <c r="X13" s="9">
        <v>80.5</v>
      </c>
      <c r="Y13" s="10">
        <v>21</v>
      </c>
      <c r="Z13" s="9">
        <v>46.400000000000006</v>
      </c>
      <c r="AA13" s="10">
        <v>19</v>
      </c>
    </row>
    <row r="14" spans="1:27" x14ac:dyDescent="0.35">
      <c r="D14">
        <v>31</v>
      </c>
      <c r="E14">
        <v>25</v>
      </c>
      <c r="I14">
        <v>80</v>
      </c>
      <c r="J14">
        <v>64.900000000000006</v>
      </c>
      <c r="T14" s="9"/>
      <c r="U14" s="10"/>
      <c r="V14" s="9"/>
      <c r="W14" s="10"/>
      <c r="X14" s="9">
        <v>80</v>
      </c>
      <c r="Y14" s="10">
        <v>31</v>
      </c>
      <c r="Z14" s="9">
        <v>64.900000000000006</v>
      </c>
      <c r="AA14" s="10">
        <v>25</v>
      </c>
    </row>
    <row r="15" spans="1:27" x14ac:dyDescent="0.35">
      <c r="B15" s="11"/>
      <c r="C15" s="11"/>
      <c r="D15" s="11">
        <v>13</v>
      </c>
      <c r="E15" s="11">
        <v>26</v>
      </c>
      <c r="G15" s="11"/>
      <c r="H15" s="11"/>
      <c r="I15" s="11">
        <v>41</v>
      </c>
      <c r="J15" s="11">
        <v>59.4</v>
      </c>
      <c r="T15" s="12"/>
      <c r="U15" s="13"/>
      <c r="V15" s="12"/>
      <c r="W15" s="13"/>
      <c r="X15" s="12">
        <v>41</v>
      </c>
      <c r="Y15" s="13">
        <v>13</v>
      </c>
      <c r="Z15" s="12">
        <v>59.4</v>
      </c>
      <c r="AA15" s="13">
        <v>26</v>
      </c>
    </row>
    <row r="16" spans="1:27" x14ac:dyDescent="0.35">
      <c r="A16" t="s">
        <v>14</v>
      </c>
      <c r="B16">
        <f>AVERAGE(B6:B15)</f>
        <v>22.875</v>
      </c>
      <c r="C16">
        <f>AVERAGE(C6:C15)</f>
        <v>33.75</v>
      </c>
      <c r="D16">
        <f>AVERAGE(D6:D15)</f>
        <v>21.9</v>
      </c>
      <c r="E16">
        <f>AVERAGE(E6:E15)</f>
        <v>15.8</v>
      </c>
      <c r="G16">
        <f>AVERAGE(G6:G15)</f>
        <v>45.987499999999997</v>
      </c>
      <c r="H16">
        <f>AVERAGE(H6:H15)</f>
        <v>60.262500000000003</v>
      </c>
      <c r="I16">
        <f>AVERAGE(I6:I15)</f>
        <v>50.559999999999995</v>
      </c>
      <c r="J16">
        <f>AVERAGE(J6:J15)</f>
        <v>40.129999999999995</v>
      </c>
    </row>
    <row r="17" spans="1:10" x14ac:dyDescent="0.35">
      <c r="A17" t="s">
        <v>15</v>
      </c>
      <c r="B17" s="11">
        <f>VAR(B6:B15)</f>
        <v>134.125</v>
      </c>
      <c r="C17" s="11">
        <f>VAR(C6:C15)</f>
        <v>164.78571428571428</v>
      </c>
      <c r="D17" s="11">
        <f>VAR(D6:D15)</f>
        <v>105.65555555555551</v>
      </c>
      <c r="E17" s="11">
        <f>VAR(E6:E15)</f>
        <v>44.844444444444434</v>
      </c>
      <c r="G17" s="11">
        <f>VAR(G6:G15)</f>
        <v>1159.0783928571432</v>
      </c>
      <c r="H17" s="11">
        <f>VAR(H6:H15)</f>
        <v>324.43410714285659</v>
      </c>
      <c r="I17" s="11">
        <f>VAR(I6:I15)</f>
        <v>449.52044444444499</v>
      </c>
      <c r="J17" s="11">
        <f>VAR(J6:J15)</f>
        <v>189.25344444444514</v>
      </c>
    </row>
  </sheetData>
  <mergeCells count="4">
    <mergeCell ref="T5:U5"/>
    <mergeCell ref="V5:W5"/>
    <mergeCell ref="X5:Y5"/>
    <mergeCell ref="Z5:A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9E3B-A5DC-437D-A295-3997A7412968}">
  <sheetPr codeName="Sheet186"/>
  <dimension ref="A1:AB87"/>
  <sheetViews>
    <sheetView zoomScaleNormal="100" workbookViewId="0"/>
  </sheetViews>
  <sheetFormatPr defaultRowHeight="14.5" x14ac:dyDescent="0.35"/>
  <cols>
    <col min="10" max="10" width="18.453125" customWidth="1"/>
    <col min="15" max="15" width="13" customWidth="1"/>
    <col min="18" max="18" width="17.7265625" customWidth="1"/>
    <col min="19" max="19" width="11.7265625" customWidth="1"/>
    <col min="20" max="20" width="13.1796875" customWidth="1"/>
    <col min="21" max="22" width="11.54296875" customWidth="1"/>
    <col min="23" max="23" width="12.7265625" customWidth="1"/>
    <col min="24" max="24" width="8.54296875" customWidth="1"/>
    <col min="28" max="28" width="10.26953125" customWidth="1"/>
  </cols>
  <sheetData>
    <row r="1" spans="1:28" x14ac:dyDescent="0.35">
      <c r="A1" s="1" t="s">
        <v>20</v>
      </c>
    </row>
    <row r="3" spans="1:28" x14ac:dyDescent="0.35">
      <c r="A3" s="2" t="s">
        <v>21</v>
      </c>
      <c r="B3" s="2" t="s">
        <v>22</v>
      </c>
      <c r="C3" s="2" t="s">
        <v>23</v>
      </c>
      <c r="D3" s="2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J3" s="1" t="s">
        <v>29</v>
      </c>
      <c r="R3" t="s">
        <v>30</v>
      </c>
      <c r="Y3" s="1" t="s">
        <v>31</v>
      </c>
    </row>
    <row r="4" spans="1:28" ht="15" thickBot="1" x14ac:dyDescent="0.4">
      <c r="A4">
        <v>12</v>
      </c>
      <c r="B4">
        <v>17.5</v>
      </c>
      <c r="C4">
        <v>1</v>
      </c>
      <c r="D4">
        <v>0</v>
      </c>
      <c r="E4">
        <v>0</v>
      </c>
      <c r="F4">
        <f t="shared" ref="F4:H39" si="0">$B4*C4</f>
        <v>17.5</v>
      </c>
      <c r="G4">
        <f t="shared" si="0"/>
        <v>0</v>
      </c>
      <c r="H4">
        <f t="shared" si="0"/>
        <v>0</v>
      </c>
    </row>
    <row r="5" spans="1:28" ht="15" thickBot="1" x14ac:dyDescent="0.4">
      <c r="A5">
        <v>39</v>
      </c>
      <c r="B5">
        <v>104.60000000000001</v>
      </c>
      <c r="C5">
        <v>1</v>
      </c>
      <c r="D5">
        <v>0</v>
      </c>
      <c r="E5">
        <v>0</v>
      </c>
      <c r="F5">
        <f t="shared" si="0"/>
        <v>104.60000000000001</v>
      </c>
      <c r="G5">
        <f t="shared" si="0"/>
        <v>0</v>
      </c>
      <c r="H5">
        <f t="shared" si="0"/>
        <v>0</v>
      </c>
      <c r="J5" t="s">
        <v>32</v>
      </c>
      <c r="R5" s="16" t="s">
        <v>33</v>
      </c>
      <c r="S5" s="16"/>
      <c r="Z5" s="17" t="s">
        <v>34</v>
      </c>
      <c r="AA5" s="17" t="s">
        <v>35</v>
      </c>
      <c r="AB5" s="17" t="s">
        <v>36</v>
      </c>
    </row>
    <row r="6" spans="1:28" x14ac:dyDescent="0.35">
      <c r="A6">
        <v>36</v>
      </c>
      <c r="B6">
        <v>64.7</v>
      </c>
      <c r="C6">
        <v>1</v>
      </c>
      <c r="D6">
        <v>0</v>
      </c>
      <c r="E6">
        <v>0</v>
      </c>
      <c r="F6">
        <f t="shared" si="0"/>
        <v>64.7</v>
      </c>
      <c r="G6">
        <f t="shared" si="0"/>
        <v>0</v>
      </c>
      <c r="H6">
        <f t="shared" si="0"/>
        <v>0</v>
      </c>
      <c r="J6" s="18"/>
      <c r="K6" s="18" t="s">
        <v>37</v>
      </c>
      <c r="L6" s="18" t="s">
        <v>38</v>
      </c>
      <c r="M6" s="18" t="s">
        <v>39</v>
      </c>
      <c r="N6" s="18" t="s">
        <v>40</v>
      </c>
      <c r="O6" s="18" t="s">
        <v>41</v>
      </c>
      <c r="R6" t="s">
        <v>42</v>
      </c>
      <c r="S6">
        <v>0.81879231765840588</v>
      </c>
      <c r="Y6" s="19" t="s">
        <v>43</v>
      </c>
      <c r="Z6" s="20">
        <f>S7</f>
        <v>0.67042085945642382</v>
      </c>
      <c r="AA6" s="21">
        <f>S23</f>
        <v>0.63921615672529453</v>
      </c>
      <c r="AB6" s="22">
        <f>Z6-AA6</f>
        <v>3.1204702731129297E-2</v>
      </c>
    </row>
    <row r="7" spans="1:28" x14ac:dyDescent="0.35">
      <c r="A7">
        <v>17</v>
      </c>
      <c r="B7">
        <v>47</v>
      </c>
      <c r="C7">
        <v>1</v>
      </c>
      <c r="D7">
        <v>0</v>
      </c>
      <c r="E7">
        <v>0</v>
      </c>
      <c r="F7">
        <f t="shared" si="0"/>
        <v>47</v>
      </c>
      <c r="G7">
        <f t="shared" si="0"/>
        <v>0</v>
      </c>
      <c r="H7">
        <f t="shared" si="0"/>
        <v>0</v>
      </c>
      <c r="J7" t="s">
        <v>44</v>
      </c>
      <c r="K7">
        <v>4</v>
      </c>
      <c r="L7">
        <v>3133.3665762499804</v>
      </c>
      <c r="M7">
        <v>783.34164406249511</v>
      </c>
      <c r="N7">
        <v>13.731006271389626</v>
      </c>
      <c r="O7">
        <v>1.4964731310688181E-6</v>
      </c>
      <c r="R7" t="s">
        <v>45</v>
      </c>
      <c r="S7">
        <v>0.67042085945642382</v>
      </c>
      <c r="Y7" t="s">
        <v>46</v>
      </c>
      <c r="Z7" s="12">
        <f>S15</f>
        <v>28</v>
      </c>
      <c r="AA7" s="11">
        <f>S31</f>
        <v>31</v>
      </c>
      <c r="AB7" s="23">
        <f>AA7-Z7</f>
        <v>3</v>
      </c>
    </row>
    <row r="8" spans="1:28" x14ac:dyDescent="0.35">
      <c r="A8">
        <v>25</v>
      </c>
      <c r="B8">
        <v>22</v>
      </c>
      <c r="C8">
        <v>1</v>
      </c>
      <c r="D8">
        <v>0</v>
      </c>
      <c r="E8">
        <v>0</v>
      </c>
      <c r="F8">
        <f t="shared" si="0"/>
        <v>22</v>
      </c>
      <c r="G8">
        <f t="shared" si="0"/>
        <v>0</v>
      </c>
      <c r="H8">
        <f t="shared" si="0"/>
        <v>0</v>
      </c>
      <c r="J8" t="s">
        <v>47</v>
      </c>
      <c r="K8">
        <v>31</v>
      </c>
      <c r="L8">
        <v>1768.5223126389094</v>
      </c>
      <c r="M8">
        <v>57.049106859319657</v>
      </c>
      <c r="R8" t="s">
        <v>48</v>
      </c>
      <c r="S8">
        <v>0.58802607432052978</v>
      </c>
      <c r="Y8" t="s">
        <v>40</v>
      </c>
      <c r="AB8" s="24">
        <f>AB6*Z7/(AB7*(1-Z6))</f>
        <v>0.88368423947236796</v>
      </c>
    </row>
    <row r="9" spans="1:28" ht="15" thickBot="1" x14ac:dyDescent="0.4">
      <c r="A9">
        <v>15</v>
      </c>
      <c r="B9">
        <v>12.4</v>
      </c>
      <c r="C9">
        <v>1</v>
      </c>
      <c r="D9">
        <v>0</v>
      </c>
      <c r="E9">
        <v>0</v>
      </c>
      <c r="F9">
        <f t="shared" si="0"/>
        <v>12.4</v>
      </c>
      <c r="G9">
        <f t="shared" si="0"/>
        <v>0</v>
      </c>
      <c r="H9">
        <f t="shared" si="0"/>
        <v>0</v>
      </c>
      <c r="J9" s="25" t="s">
        <v>49</v>
      </c>
      <c r="K9" s="25">
        <v>35</v>
      </c>
      <c r="L9" s="25">
        <v>4901.8888888888896</v>
      </c>
      <c r="M9" s="25"/>
      <c r="N9" s="25"/>
      <c r="O9" s="25"/>
      <c r="R9" t="s">
        <v>50</v>
      </c>
      <c r="S9">
        <v>7.5959583403659607</v>
      </c>
      <c r="Y9" s="26" t="s">
        <v>51</v>
      </c>
      <c r="AB9" s="24">
        <v>0.05</v>
      </c>
    </row>
    <row r="10" spans="1:28" ht="15" thickBot="1" x14ac:dyDescent="0.4">
      <c r="A10">
        <v>8</v>
      </c>
      <c r="B10">
        <v>20</v>
      </c>
      <c r="C10">
        <v>1</v>
      </c>
      <c r="D10">
        <v>0</v>
      </c>
      <c r="E10">
        <v>0</v>
      </c>
      <c r="F10">
        <f t="shared" si="0"/>
        <v>20</v>
      </c>
      <c r="G10">
        <f t="shared" si="0"/>
        <v>0</v>
      </c>
      <c r="H10">
        <f t="shared" si="0"/>
        <v>0</v>
      </c>
      <c r="R10" s="25" t="s">
        <v>52</v>
      </c>
      <c r="S10" s="25">
        <v>36</v>
      </c>
      <c r="Y10" s="19" t="s">
        <v>53</v>
      </c>
      <c r="AB10" s="24">
        <f>FDIST(AB8,AB7,Z7)</f>
        <v>0.46150436492324942</v>
      </c>
    </row>
    <row r="11" spans="1:28" ht="15" thickBot="1" x14ac:dyDescent="0.4">
      <c r="A11">
        <v>31</v>
      </c>
      <c r="B11">
        <v>79.7</v>
      </c>
      <c r="C11">
        <v>1</v>
      </c>
      <c r="D11">
        <v>0</v>
      </c>
      <c r="E11">
        <v>0</v>
      </c>
      <c r="F11">
        <f t="shared" si="0"/>
        <v>79.7</v>
      </c>
      <c r="G11">
        <f t="shared" si="0"/>
        <v>0</v>
      </c>
      <c r="H11">
        <f t="shared" si="0"/>
        <v>0</v>
      </c>
      <c r="J11" t="s">
        <v>54</v>
      </c>
      <c r="Y11" s="26" t="s">
        <v>55</v>
      </c>
      <c r="AB11" s="27" t="str">
        <f>IF(AB10&lt;AB9,"yes","no")</f>
        <v>no</v>
      </c>
    </row>
    <row r="12" spans="1:28" ht="15" thickBot="1" x14ac:dyDescent="0.4">
      <c r="A12">
        <v>45</v>
      </c>
      <c r="B12">
        <v>70.8</v>
      </c>
      <c r="C12">
        <v>0</v>
      </c>
      <c r="D12">
        <v>1</v>
      </c>
      <c r="E12">
        <v>0</v>
      </c>
      <c r="F12">
        <f t="shared" si="0"/>
        <v>0</v>
      </c>
      <c r="G12">
        <f t="shared" si="0"/>
        <v>70.8</v>
      </c>
      <c r="H12">
        <f t="shared" si="0"/>
        <v>0</v>
      </c>
      <c r="J12" s="18"/>
      <c r="K12" s="18" t="s">
        <v>37</v>
      </c>
      <c r="L12" s="18" t="s">
        <v>38</v>
      </c>
      <c r="M12" s="18" t="s">
        <v>39</v>
      </c>
      <c r="N12" s="18" t="s">
        <v>40</v>
      </c>
      <c r="O12" s="18" t="s">
        <v>41</v>
      </c>
      <c r="R12" t="s">
        <v>56</v>
      </c>
    </row>
    <row r="13" spans="1:28" x14ac:dyDescent="0.35">
      <c r="A13">
        <v>37</v>
      </c>
      <c r="B13">
        <v>45.9</v>
      </c>
      <c r="C13">
        <v>0</v>
      </c>
      <c r="D13">
        <v>1</v>
      </c>
      <c r="E13">
        <v>0</v>
      </c>
      <c r="F13">
        <f t="shared" si="0"/>
        <v>0</v>
      </c>
      <c r="G13">
        <f t="shared" si="0"/>
        <v>45.9</v>
      </c>
      <c r="H13">
        <f t="shared" si="0"/>
        <v>0</v>
      </c>
      <c r="J13" t="s">
        <v>44</v>
      </c>
      <c r="K13">
        <v>3</v>
      </c>
      <c r="L13">
        <v>1897.0572222222254</v>
      </c>
      <c r="M13">
        <v>632.35240740740846</v>
      </c>
      <c r="N13">
        <v>1.2542356704784683</v>
      </c>
      <c r="O13">
        <v>0.30655018520822414</v>
      </c>
      <c r="R13" s="18"/>
      <c r="S13" s="18" t="s">
        <v>37</v>
      </c>
      <c r="T13" s="18" t="s">
        <v>38</v>
      </c>
      <c r="U13" s="18" t="s">
        <v>39</v>
      </c>
      <c r="V13" s="18" t="s">
        <v>40</v>
      </c>
      <c r="W13" s="18" t="s">
        <v>41</v>
      </c>
      <c r="Y13" s="19" t="s">
        <v>57</v>
      </c>
      <c r="AB13" s="28" t="e">
        <f ca="1">RSquareTest(B4:H39,B4:E39,A4:A39)</f>
        <v>#NAME?</v>
      </c>
    </row>
    <row r="14" spans="1:28" x14ac:dyDescent="0.35">
      <c r="A14">
        <v>13</v>
      </c>
      <c r="B14">
        <v>47.5</v>
      </c>
      <c r="C14">
        <v>0</v>
      </c>
      <c r="D14">
        <v>1</v>
      </c>
      <c r="E14">
        <v>0</v>
      </c>
      <c r="F14">
        <f t="shared" si="0"/>
        <v>0</v>
      </c>
      <c r="G14">
        <f t="shared" si="0"/>
        <v>47.5</v>
      </c>
      <c r="H14">
        <f t="shared" si="0"/>
        <v>0</v>
      </c>
      <c r="J14" t="s">
        <v>47</v>
      </c>
      <c r="K14">
        <v>32</v>
      </c>
      <c r="L14">
        <v>16133.552500000002</v>
      </c>
      <c r="M14">
        <v>504.17351562500005</v>
      </c>
      <c r="R14" t="s">
        <v>44</v>
      </c>
      <c r="S14">
        <v>7</v>
      </c>
      <c r="T14">
        <v>3286.3285618487839</v>
      </c>
      <c r="U14">
        <v>469.47550883554055</v>
      </c>
      <c r="V14">
        <v>8.1366904270785607</v>
      </c>
      <c r="W14">
        <v>2.1072042596181117E-5</v>
      </c>
    </row>
    <row r="15" spans="1:28" ht="15" thickBot="1" x14ac:dyDescent="0.4">
      <c r="A15">
        <v>50</v>
      </c>
      <c r="B15">
        <v>77.8</v>
      </c>
      <c r="C15">
        <v>0</v>
      </c>
      <c r="D15">
        <v>1</v>
      </c>
      <c r="E15">
        <v>0</v>
      </c>
      <c r="F15">
        <f t="shared" si="0"/>
        <v>0</v>
      </c>
      <c r="G15">
        <f t="shared" si="0"/>
        <v>77.8</v>
      </c>
      <c r="H15">
        <f t="shared" si="0"/>
        <v>0</v>
      </c>
      <c r="J15" s="25" t="s">
        <v>49</v>
      </c>
      <c r="K15" s="25">
        <v>35</v>
      </c>
      <c r="L15" s="25">
        <v>18030.609722222227</v>
      </c>
      <c r="M15" s="25"/>
      <c r="N15" s="25"/>
      <c r="O15" s="25"/>
      <c r="R15" t="s">
        <v>47</v>
      </c>
      <c r="S15">
        <v>28</v>
      </c>
      <c r="T15">
        <v>1615.5603270401057</v>
      </c>
      <c r="U15">
        <v>57.6985831085752</v>
      </c>
    </row>
    <row r="16" spans="1:28" ht="15" thickBot="1" x14ac:dyDescent="0.4">
      <c r="A16">
        <v>35</v>
      </c>
      <c r="B16">
        <v>70.900000000000006</v>
      </c>
      <c r="C16">
        <v>0</v>
      </c>
      <c r="D16">
        <v>1</v>
      </c>
      <c r="E16">
        <v>0</v>
      </c>
      <c r="F16">
        <f t="shared" si="0"/>
        <v>0</v>
      </c>
      <c r="G16">
        <f t="shared" si="0"/>
        <v>70.900000000000006</v>
      </c>
      <c r="H16">
        <f t="shared" si="0"/>
        <v>0</v>
      </c>
      <c r="R16" s="25" t="s">
        <v>49</v>
      </c>
      <c r="S16" s="25">
        <v>35</v>
      </c>
      <c r="T16" s="25">
        <v>4901.8888888888896</v>
      </c>
      <c r="U16" s="25"/>
      <c r="V16" s="25"/>
      <c r="W16" s="25"/>
    </row>
    <row r="17" spans="1:23" ht="15" thickBot="1" x14ac:dyDescent="0.4">
      <c r="A17">
        <v>40</v>
      </c>
      <c r="B17">
        <v>84.8</v>
      </c>
      <c r="C17">
        <v>0</v>
      </c>
      <c r="D17">
        <v>1</v>
      </c>
      <c r="E17">
        <v>0</v>
      </c>
      <c r="F17">
        <f t="shared" si="0"/>
        <v>0</v>
      </c>
      <c r="G17">
        <f t="shared" si="0"/>
        <v>84.8</v>
      </c>
      <c r="H17">
        <f t="shared" si="0"/>
        <v>0</v>
      </c>
      <c r="J17" t="s">
        <v>58</v>
      </c>
    </row>
    <row r="18" spans="1:23" x14ac:dyDescent="0.35">
      <c r="A18">
        <v>33</v>
      </c>
      <c r="B18">
        <v>49.8</v>
      </c>
      <c r="C18">
        <v>0</v>
      </c>
      <c r="D18">
        <v>1</v>
      </c>
      <c r="E18">
        <v>0</v>
      </c>
      <c r="F18">
        <f t="shared" si="0"/>
        <v>0</v>
      </c>
      <c r="G18">
        <f t="shared" si="0"/>
        <v>49.8</v>
      </c>
      <c r="H18">
        <f t="shared" si="0"/>
        <v>0</v>
      </c>
      <c r="J18" s="18"/>
      <c r="K18" s="18" t="s">
        <v>37</v>
      </c>
      <c r="L18" s="18" t="s">
        <v>38</v>
      </c>
      <c r="M18" s="18" t="s">
        <v>39</v>
      </c>
      <c r="N18" s="18" t="s">
        <v>40</v>
      </c>
      <c r="O18" s="18" t="s">
        <v>41</v>
      </c>
    </row>
    <row r="19" spans="1:23" x14ac:dyDescent="0.35">
      <c r="A19">
        <v>17</v>
      </c>
      <c r="B19">
        <v>34.599999999999994</v>
      </c>
      <c r="C19">
        <v>0</v>
      </c>
      <c r="D19">
        <v>1</v>
      </c>
      <c r="E19">
        <v>0</v>
      </c>
      <c r="F19">
        <f t="shared" si="0"/>
        <v>0</v>
      </c>
      <c r="G19">
        <f t="shared" si="0"/>
        <v>34.599999999999994</v>
      </c>
      <c r="H19">
        <f t="shared" si="0"/>
        <v>0</v>
      </c>
      <c r="J19" t="s">
        <v>44</v>
      </c>
      <c r="K19">
        <v>3</v>
      </c>
      <c r="L19">
        <v>1455.0138888888901</v>
      </c>
      <c r="M19">
        <v>485.00462962963002</v>
      </c>
      <c r="N19">
        <v>4.5026721735334654</v>
      </c>
      <c r="O19">
        <v>9.5805875705777723E-3</v>
      </c>
      <c r="R19" t="s">
        <v>59</v>
      </c>
    </row>
    <row r="20" spans="1:23" ht="15" thickBot="1" x14ac:dyDescent="0.4">
      <c r="A20">
        <v>20</v>
      </c>
      <c r="B20">
        <v>71.400000000000006</v>
      </c>
      <c r="C20">
        <v>0</v>
      </c>
      <c r="D20">
        <v>0</v>
      </c>
      <c r="E20">
        <v>1</v>
      </c>
      <c r="F20">
        <f t="shared" si="0"/>
        <v>0</v>
      </c>
      <c r="G20">
        <f t="shared" si="0"/>
        <v>0</v>
      </c>
      <c r="H20">
        <f t="shared" si="0"/>
        <v>71.400000000000006</v>
      </c>
      <c r="J20" t="s">
        <v>47</v>
      </c>
      <c r="K20">
        <v>32</v>
      </c>
      <c r="L20">
        <v>3446.8749999999995</v>
      </c>
      <c r="M20">
        <v>107.71484374999999</v>
      </c>
    </row>
    <row r="21" spans="1:23" ht="15" thickBot="1" x14ac:dyDescent="0.4">
      <c r="A21">
        <v>42</v>
      </c>
      <c r="B21">
        <v>55</v>
      </c>
      <c r="C21">
        <v>0</v>
      </c>
      <c r="D21">
        <v>0</v>
      </c>
      <c r="E21">
        <v>1</v>
      </c>
      <c r="F21">
        <f t="shared" si="0"/>
        <v>0</v>
      </c>
      <c r="G21">
        <f t="shared" si="0"/>
        <v>0</v>
      </c>
      <c r="H21">
        <f t="shared" si="0"/>
        <v>55</v>
      </c>
      <c r="J21" s="25" t="s">
        <v>49</v>
      </c>
      <c r="K21" s="25">
        <v>35</v>
      </c>
      <c r="L21" s="25">
        <v>4901.8888888888896</v>
      </c>
      <c r="M21" s="25"/>
      <c r="N21" s="25"/>
      <c r="O21" s="25"/>
      <c r="R21" s="16" t="s">
        <v>33</v>
      </c>
      <c r="S21" s="16"/>
    </row>
    <row r="22" spans="1:23" x14ac:dyDescent="0.35">
      <c r="A22">
        <v>31</v>
      </c>
      <c r="B22">
        <v>54</v>
      </c>
      <c r="C22">
        <v>0</v>
      </c>
      <c r="D22">
        <v>0</v>
      </c>
      <c r="E22">
        <v>1</v>
      </c>
      <c r="F22">
        <f t="shared" si="0"/>
        <v>0</v>
      </c>
      <c r="G22">
        <f t="shared" si="0"/>
        <v>0</v>
      </c>
      <c r="H22">
        <f t="shared" si="0"/>
        <v>54</v>
      </c>
      <c r="R22" t="s">
        <v>42</v>
      </c>
      <c r="S22">
        <v>0.79950994785887097</v>
      </c>
    </row>
    <row r="23" spans="1:23" ht="15" thickBot="1" x14ac:dyDescent="0.4">
      <c r="A23">
        <v>24</v>
      </c>
      <c r="B23">
        <v>27.9</v>
      </c>
      <c r="C23">
        <v>0</v>
      </c>
      <c r="D23">
        <v>0</v>
      </c>
      <c r="E23">
        <v>1</v>
      </c>
      <c r="F23">
        <f t="shared" si="0"/>
        <v>0</v>
      </c>
      <c r="G23">
        <f t="shared" si="0"/>
        <v>0</v>
      </c>
      <c r="H23">
        <f t="shared" si="0"/>
        <v>27.9</v>
      </c>
      <c r="J23" t="s">
        <v>60</v>
      </c>
      <c r="R23" t="s">
        <v>45</v>
      </c>
      <c r="S23">
        <v>0.63921615672529453</v>
      </c>
    </row>
    <row r="24" spans="1:23" x14ac:dyDescent="0.35">
      <c r="A24">
        <v>15</v>
      </c>
      <c r="B24">
        <v>40.599999999999994</v>
      </c>
      <c r="C24">
        <v>0</v>
      </c>
      <c r="D24">
        <v>0</v>
      </c>
      <c r="E24">
        <v>1</v>
      </c>
      <c r="F24">
        <f t="shared" si="0"/>
        <v>0</v>
      </c>
      <c r="G24">
        <f t="shared" si="0"/>
        <v>0</v>
      </c>
      <c r="H24">
        <f t="shared" si="0"/>
        <v>40.599999999999994</v>
      </c>
      <c r="J24" s="18"/>
      <c r="K24" s="18" t="s">
        <v>37</v>
      </c>
      <c r="L24" s="18" t="s">
        <v>38</v>
      </c>
      <c r="M24" s="18" t="s">
        <v>39</v>
      </c>
      <c r="N24" s="18" t="s">
        <v>40</v>
      </c>
      <c r="O24" s="18" t="s">
        <v>41</v>
      </c>
      <c r="R24" t="s">
        <v>48</v>
      </c>
      <c r="S24">
        <v>0.5926634027543648</v>
      </c>
    </row>
    <row r="25" spans="1:23" x14ac:dyDescent="0.35">
      <c r="A25">
        <v>13</v>
      </c>
      <c r="B25">
        <v>33</v>
      </c>
      <c r="C25">
        <v>0</v>
      </c>
      <c r="D25">
        <v>0</v>
      </c>
      <c r="E25">
        <v>1</v>
      </c>
      <c r="F25">
        <f t="shared" si="0"/>
        <v>0</v>
      </c>
      <c r="G25">
        <f t="shared" si="0"/>
        <v>0</v>
      </c>
      <c r="H25">
        <f t="shared" si="0"/>
        <v>33</v>
      </c>
      <c r="J25" t="s">
        <v>44</v>
      </c>
      <c r="K25">
        <v>1</v>
      </c>
      <c r="L25">
        <v>2562.3366929048839</v>
      </c>
      <c r="M25">
        <v>2562.3366929048839</v>
      </c>
      <c r="N25">
        <v>37.237659287239794</v>
      </c>
      <c r="O25">
        <v>6.3463662804716112E-7</v>
      </c>
      <c r="R25" t="s">
        <v>50</v>
      </c>
      <c r="S25">
        <v>7.5530859163205379</v>
      </c>
    </row>
    <row r="26" spans="1:23" ht="15" thickBot="1" x14ac:dyDescent="0.4">
      <c r="A26">
        <v>9</v>
      </c>
      <c r="B26">
        <v>22.2</v>
      </c>
      <c r="C26">
        <v>0</v>
      </c>
      <c r="D26">
        <v>0</v>
      </c>
      <c r="E26">
        <v>1</v>
      </c>
      <c r="F26">
        <f t="shared" si="0"/>
        <v>0</v>
      </c>
      <c r="G26">
        <f t="shared" si="0"/>
        <v>0</v>
      </c>
      <c r="H26">
        <f t="shared" si="0"/>
        <v>22.2</v>
      </c>
      <c r="J26" t="s">
        <v>47</v>
      </c>
      <c r="K26">
        <v>34</v>
      </c>
      <c r="L26">
        <v>2339.5521959840057</v>
      </c>
      <c r="M26">
        <v>68.810358705411929</v>
      </c>
      <c r="R26" s="25" t="s">
        <v>52</v>
      </c>
      <c r="S26" s="25">
        <v>36</v>
      </c>
    </row>
    <row r="27" spans="1:23" ht="15" thickBot="1" x14ac:dyDescent="0.4">
      <c r="A27">
        <v>21</v>
      </c>
      <c r="B27">
        <v>80.5</v>
      </c>
      <c r="C27">
        <v>0</v>
      </c>
      <c r="D27">
        <v>0</v>
      </c>
      <c r="E27">
        <v>1</v>
      </c>
      <c r="F27">
        <f t="shared" si="0"/>
        <v>0</v>
      </c>
      <c r="G27">
        <f t="shared" si="0"/>
        <v>0</v>
      </c>
      <c r="H27">
        <f t="shared" si="0"/>
        <v>80.5</v>
      </c>
      <c r="J27" s="25" t="s">
        <v>49</v>
      </c>
      <c r="K27" s="25">
        <v>35</v>
      </c>
      <c r="L27" s="25">
        <v>4901.8888888888896</v>
      </c>
      <c r="M27" s="25"/>
      <c r="N27" s="25"/>
      <c r="O27" s="25"/>
    </row>
    <row r="28" spans="1:23" ht="15" thickBot="1" x14ac:dyDescent="0.4">
      <c r="A28">
        <v>31</v>
      </c>
      <c r="B28">
        <v>80</v>
      </c>
      <c r="C28">
        <v>0</v>
      </c>
      <c r="D28">
        <v>0</v>
      </c>
      <c r="E28">
        <v>1</v>
      </c>
      <c r="F28">
        <f t="shared" si="0"/>
        <v>0</v>
      </c>
      <c r="G28">
        <f t="shared" si="0"/>
        <v>0</v>
      </c>
      <c r="H28">
        <f t="shared" si="0"/>
        <v>80</v>
      </c>
      <c r="R28" t="s">
        <v>56</v>
      </c>
    </row>
    <row r="29" spans="1:23" x14ac:dyDescent="0.35">
      <c r="A29">
        <v>13</v>
      </c>
      <c r="B29">
        <v>41</v>
      </c>
      <c r="C29">
        <v>0</v>
      </c>
      <c r="D29">
        <v>0</v>
      </c>
      <c r="E29">
        <v>1</v>
      </c>
      <c r="F29">
        <f t="shared" si="0"/>
        <v>0</v>
      </c>
      <c r="G29">
        <f t="shared" si="0"/>
        <v>0</v>
      </c>
      <c r="H29">
        <f t="shared" si="0"/>
        <v>41</v>
      </c>
      <c r="R29" s="18"/>
      <c r="S29" s="18" t="s">
        <v>37</v>
      </c>
      <c r="T29" s="18" t="s">
        <v>38</v>
      </c>
      <c r="U29" s="18" t="s">
        <v>39</v>
      </c>
      <c r="V29" s="18" t="s">
        <v>40</v>
      </c>
      <c r="W29" s="18" t="s">
        <v>41</v>
      </c>
    </row>
    <row r="30" spans="1:23" ht="15" thickBot="1" x14ac:dyDescent="0.4">
      <c r="A30">
        <v>12</v>
      </c>
      <c r="B30">
        <v>35</v>
      </c>
      <c r="C30">
        <v>0</v>
      </c>
      <c r="D30">
        <v>0</v>
      </c>
      <c r="E30">
        <v>0</v>
      </c>
      <c r="F30">
        <f t="shared" si="0"/>
        <v>0</v>
      </c>
      <c r="G30">
        <f t="shared" si="0"/>
        <v>0</v>
      </c>
      <c r="H30">
        <f t="shared" si="0"/>
        <v>0</v>
      </c>
      <c r="J30" t="s">
        <v>0</v>
      </c>
      <c r="R30" t="s">
        <v>44</v>
      </c>
      <c r="S30">
        <v>4</v>
      </c>
      <c r="T30">
        <v>3133.3665762499804</v>
      </c>
      <c r="U30">
        <v>783.34164406249511</v>
      </c>
      <c r="V30">
        <v>13.731006271389626</v>
      </c>
      <c r="W30">
        <v>1.4964731310688181E-6</v>
      </c>
    </row>
    <row r="31" spans="1:23" x14ac:dyDescent="0.35">
      <c r="A31">
        <v>10</v>
      </c>
      <c r="B31">
        <v>33</v>
      </c>
      <c r="C31">
        <v>0</v>
      </c>
      <c r="D31">
        <v>0</v>
      </c>
      <c r="E31">
        <v>0</v>
      </c>
      <c r="F31">
        <f t="shared" si="0"/>
        <v>0</v>
      </c>
      <c r="G31">
        <f t="shared" si="0"/>
        <v>0</v>
      </c>
      <c r="H31">
        <f t="shared" si="0"/>
        <v>0</v>
      </c>
      <c r="J31" s="18" t="s">
        <v>61</v>
      </c>
      <c r="K31" s="18" t="s">
        <v>37</v>
      </c>
      <c r="L31" s="18" t="s">
        <v>38</v>
      </c>
      <c r="M31" s="18" t="s">
        <v>39</v>
      </c>
      <c r="N31" s="18" t="s">
        <v>40</v>
      </c>
      <c r="O31" s="18" t="s">
        <v>41</v>
      </c>
      <c r="R31" t="s">
        <v>47</v>
      </c>
      <c r="S31">
        <v>31</v>
      </c>
      <c r="T31">
        <v>1768.5223126389094</v>
      </c>
      <c r="U31">
        <v>57.049106859319657</v>
      </c>
    </row>
    <row r="32" spans="1:23" ht="15" thickBot="1" x14ac:dyDescent="0.4">
      <c r="A32">
        <v>19</v>
      </c>
      <c r="B32">
        <v>34.200000000000003</v>
      </c>
      <c r="C32">
        <v>0</v>
      </c>
      <c r="D32">
        <v>0</v>
      </c>
      <c r="E32">
        <v>0</v>
      </c>
      <c r="F32">
        <f t="shared" si="0"/>
        <v>0</v>
      </c>
      <c r="G32">
        <f t="shared" si="0"/>
        <v>0</v>
      </c>
      <c r="H32">
        <f t="shared" si="0"/>
        <v>0</v>
      </c>
      <c r="J32" t="s">
        <v>62</v>
      </c>
      <c r="K32">
        <f>K7-K19</f>
        <v>1</v>
      </c>
      <c r="L32">
        <f>L7-L19</f>
        <v>1678.3526873610904</v>
      </c>
      <c r="M32">
        <f>L32/K32</f>
        <v>1678.3526873610904</v>
      </c>
      <c r="N32">
        <f>M32/M34</f>
        <v>29.419438440987815</v>
      </c>
      <c r="O32">
        <f>FDIST(N32,K32,K34)</f>
        <v>6.3670620361677781E-6</v>
      </c>
      <c r="R32" s="25" t="s">
        <v>49</v>
      </c>
      <c r="S32" s="25">
        <v>35</v>
      </c>
      <c r="T32" s="25">
        <v>4901.8888888888896</v>
      </c>
      <c r="U32" s="25"/>
      <c r="V32" s="25"/>
      <c r="W32" s="25"/>
    </row>
    <row r="33" spans="1:24" ht="15" thickBot="1" x14ac:dyDescent="0.4">
      <c r="A33">
        <v>18</v>
      </c>
      <c r="B33">
        <v>43.2</v>
      </c>
      <c r="C33">
        <v>0</v>
      </c>
      <c r="D33">
        <v>0</v>
      </c>
      <c r="E33">
        <v>0</v>
      </c>
      <c r="F33">
        <f t="shared" si="0"/>
        <v>0</v>
      </c>
      <c r="G33">
        <f t="shared" si="0"/>
        <v>0</v>
      </c>
      <c r="H33">
        <f t="shared" si="0"/>
        <v>0</v>
      </c>
      <c r="J33" t="s">
        <v>63</v>
      </c>
      <c r="K33">
        <f>K7-K25</f>
        <v>3</v>
      </c>
      <c r="L33">
        <f>L7-L25</f>
        <v>571.02988334509655</v>
      </c>
      <c r="M33">
        <f>L33/K33</f>
        <v>190.34329444836553</v>
      </c>
      <c r="N33">
        <f>M33/M34</f>
        <v>3.3364815845012772</v>
      </c>
      <c r="O33">
        <f>FDIST(N33,K33,K34)</f>
        <v>3.1940102263091678E-2</v>
      </c>
    </row>
    <row r="34" spans="1:24" x14ac:dyDescent="0.35">
      <c r="A34">
        <v>14</v>
      </c>
      <c r="B34">
        <v>20</v>
      </c>
      <c r="C34">
        <v>0</v>
      </c>
      <c r="D34">
        <v>0</v>
      </c>
      <c r="E34">
        <v>0</v>
      </c>
      <c r="F34">
        <f t="shared" si="0"/>
        <v>0</v>
      </c>
      <c r="G34">
        <f t="shared" si="0"/>
        <v>0</v>
      </c>
      <c r="H34">
        <f t="shared" si="0"/>
        <v>0</v>
      </c>
      <c r="J34" t="s">
        <v>47</v>
      </c>
      <c r="K34">
        <f>K8</f>
        <v>31</v>
      </c>
      <c r="L34">
        <f>L8</f>
        <v>1768.5223126389094</v>
      </c>
      <c r="M34">
        <f>L34/K34</f>
        <v>57.049106859319657</v>
      </c>
      <c r="R34" s="18"/>
      <c r="S34" s="18" t="s">
        <v>64</v>
      </c>
      <c r="T34" s="18" t="s">
        <v>50</v>
      </c>
      <c r="U34" s="18" t="s">
        <v>65</v>
      </c>
      <c r="V34" s="18" t="s">
        <v>66</v>
      </c>
      <c r="W34" s="18" t="s">
        <v>67</v>
      </c>
      <c r="X34" s="18" t="s">
        <v>68</v>
      </c>
    </row>
    <row r="35" spans="1:24" ht="15" thickBot="1" x14ac:dyDescent="0.4">
      <c r="A35">
        <v>8</v>
      </c>
      <c r="B35">
        <v>37</v>
      </c>
      <c r="C35">
        <v>0</v>
      </c>
      <c r="D35">
        <v>0</v>
      </c>
      <c r="E35">
        <v>0</v>
      </c>
      <c r="F35">
        <f t="shared" si="0"/>
        <v>0</v>
      </c>
      <c r="G35">
        <f t="shared" si="0"/>
        <v>0</v>
      </c>
      <c r="H35">
        <f t="shared" si="0"/>
        <v>0</v>
      </c>
      <c r="J35" s="25" t="s">
        <v>49</v>
      </c>
      <c r="K35" s="25">
        <f>K9</f>
        <v>35</v>
      </c>
      <c r="L35" s="25">
        <f>L9</f>
        <v>4901.8888888888896</v>
      </c>
      <c r="M35" s="25"/>
      <c r="N35" s="25"/>
      <c r="O35" s="25"/>
      <c r="R35" t="s">
        <v>69</v>
      </c>
      <c r="S35">
        <v>2.856677552882414</v>
      </c>
      <c r="T35">
        <v>3.3763043714517851</v>
      </c>
      <c r="U35">
        <v>0.8460959790938708</v>
      </c>
      <c r="V35">
        <v>0.40398325617209507</v>
      </c>
      <c r="W35">
        <v>-4.0293406118204746</v>
      </c>
      <c r="X35">
        <v>9.7426957175853026</v>
      </c>
    </row>
    <row r="36" spans="1:24" x14ac:dyDescent="0.35">
      <c r="A36">
        <v>7</v>
      </c>
      <c r="B36">
        <v>28.2</v>
      </c>
      <c r="C36">
        <v>0</v>
      </c>
      <c r="D36">
        <v>0</v>
      </c>
      <c r="E36">
        <v>0</v>
      </c>
      <c r="F36">
        <f t="shared" si="0"/>
        <v>0</v>
      </c>
      <c r="G36">
        <f t="shared" si="0"/>
        <v>0</v>
      </c>
      <c r="H36">
        <f t="shared" si="0"/>
        <v>0</v>
      </c>
      <c r="R36" t="s">
        <v>22</v>
      </c>
      <c r="S36">
        <v>0.32253482300317932</v>
      </c>
      <c r="T36">
        <v>5.946472591854892E-2</v>
      </c>
      <c r="U36">
        <v>5.4239688827451662</v>
      </c>
      <c r="V36">
        <v>6.3670620361677307E-6</v>
      </c>
      <c r="W36">
        <v>0.20125571490602179</v>
      </c>
      <c r="X36">
        <v>0.44381393110033684</v>
      </c>
    </row>
    <row r="37" spans="1:24" x14ac:dyDescent="0.35">
      <c r="A37">
        <v>19</v>
      </c>
      <c r="B37">
        <v>46.400000000000006</v>
      </c>
      <c r="C37">
        <v>0</v>
      </c>
      <c r="D37">
        <v>0</v>
      </c>
      <c r="E37">
        <v>0</v>
      </c>
      <c r="F37">
        <f t="shared" si="0"/>
        <v>0</v>
      </c>
      <c r="G37">
        <f t="shared" si="0"/>
        <v>0</v>
      </c>
      <c r="H37">
        <f t="shared" si="0"/>
        <v>0</v>
      </c>
      <c r="R37" t="s">
        <v>23</v>
      </c>
      <c r="S37">
        <v>5.1857522742588777</v>
      </c>
      <c r="T37">
        <v>3.5996349990324723</v>
      </c>
      <c r="U37">
        <v>1.4406328073965082</v>
      </c>
      <c r="V37">
        <v>0.15971307178846195</v>
      </c>
      <c r="W37">
        <v>-2.1557517083869717</v>
      </c>
      <c r="X37">
        <v>12.527256256904728</v>
      </c>
    </row>
    <row r="38" spans="1:24" ht="15" thickBot="1" x14ac:dyDescent="0.4">
      <c r="A38">
        <v>25</v>
      </c>
      <c r="B38">
        <v>64.900000000000006</v>
      </c>
      <c r="C38">
        <v>0</v>
      </c>
      <c r="D38">
        <v>0</v>
      </c>
      <c r="E38">
        <v>0</v>
      </c>
      <c r="F38">
        <f t="shared" si="0"/>
        <v>0</v>
      </c>
      <c r="G38">
        <f t="shared" si="0"/>
        <v>0</v>
      </c>
      <c r="H38">
        <f t="shared" si="0"/>
        <v>0</v>
      </c>
      <c r="J38" t="s">
        <v>70</v>
      </c>
      <c r="R38" t="s">
        <v>24</v>
      </c>
      <c r="S38">
        <v>11.456567675888499</v>
      </c>
      <c r="T38">
        <v>3.7774692134876644</v>
      </c>
      <c r="U38">
        <v>3.0328685763955892</v>
      </c>
      <c r="V38">
        <v>4.8651077362410929E-3</v>
      </c>
      <c r="W38">
        <v>3.7523684216319424</v>
      </c>
      <c r="X38">
        <v>19.160766930145055</v>
      </c>
    </row>
    <row r="39" spans="1:24" ht="15" thickBot="1" x14ac:dyDescent="0.4">
      <c r="A39" s="11">
        <v>26</v>
      </c>
      <c r="B39" s="11">
        <v>59.4</v>
      </c>
      <c r="C39" s="11">
        <v>0</v>
      </c>
      <c r="D39" s="11">
        <v>0</v>
      </c>
      <c r="E39" s="11">
        <v>0</v>
      </c>
      <c r="F39" s="11">
        <f t="shared" si="0"/>
        <v>0</v>
      </c>
      <c r="G39" s="11">
        <f t="shared" si="0"/>
        <v>0</v>
      </c>
      <c r="H39" s="11">
        <f t="shared" si="0"/>
        <v>0</v>
      </c>
      <c r="J39" s="18" t="s">
        <v>61</v>
      </c>
      <c r="K39" s="18" t="s">
        <v>37</v>
      </c>
      <c r="L39" s="18" t="s">
        <v>38</v>
      </c>
      <c r="M39" s="18" t="s">
        <v>39</v>
      </c>
      <c r="N39" s="18" t="s">
        <v>40</v>
      </c>
      <c r="O39" s="18" t="s">
        <v>41</v>
      </c>
      <c r="R39" s="25" t="s">
        <v>25</v>
      </c>
      <c r="S39" s="25">
        <v>2.7359617960768428</v>
      </c>
      <c r="T39" s="25">
        <v>3.4343107914459856</v>
      </c>
      <c r="U39" s="25">
        <v>0.79665527152971816</v>
      </c>
      <c r="V39" s="25">
        <v>0.43171050712537717</v>
      </c>
      <c r="W39" s="25">
        <v>-4.2683612421815358</v>
      </c>
      <c r="X39" s="25">
        <v>9.7402848343352204</v>
      </c>
    </row>
    <row r="40" spans="1:24" x14ac:dyDescent="0.35">
      <c r="J40" t="s">
        <v>71</v>
      </c>
      <c r="K40">
        <f>K33</f>
        <v>3</v>
      </c>
      <c r="L40">
        <f>L33</f>
        <v>571.02988334509655</v>
      </c>
      <c r="M40">
        <f>L40/K40</f>
        <v>190.34329444836553</v>
      </c>
      <c r="N40">
        <f>M40/M41</f>
        <v>3.3364815845012772</v>
      </c>
      <c r="O40">
        <f>FDIST(N40,K40,K41)</f>
        <v>3.1940102263091678E-2</v>
      </c>
    </row>
    <row r="41" spans="1:24" ht="16.5" x14ac:dyDescent="0.45">
      <c r="A41" t="s">
        <v>72</v>
      </c>
      <c r="B41" s="28">
        <f>DEVSQ(B4:B39)</f>
        <v>18030.609722222227</v>
      </c>
      <c r="J41" t="s">
        <v>47</v>
      </c>
      <c r="K41">
        <f>K34</f>
        <v>31</v>
      </c>
      <c r="L41">
        <f>L34</f>
        <v>1768.5223126389094</v>
      </c>
      <c r="M41">
        <f>L41/K41</f>
        <v>57.049106859319657</v>
      </c>
    </row>
    <row r="42" spans="1:24" ht="15" thickBot="1" x14ac:dyDescent="0.4">
      <c r="F42" s="29"/>
      <c r="J42" s="25" t="s">
        <v>73</v>
      </c>
      <c r="K42" s="25">
        <f>K40+K41</f>
        <v>34</v>
      </c>
      <c r="L42" s="25">
        <f>T32-B43^2*B41</f>
        <v>2339.5521959840053</v>
      </c>
      <c r="M42" s="25"/>
      <c r="N42" s="25"/>
      <c r="O42" s="25"/>
      <c r="R42" t="s">
        <v>74</v>
      </c>
    </row>
    <row r="43" spans="1:24" ht="17" thickBot="1" x14ac:dyDescent="0.5">
      <c r="A43" t="s">
        <v>75</v>
      </c>
      <c r="B43" s="28">
        <f>SLOPE(A4:A39,B4:B39)</f>
        <v>0.37697529640759825</v>
      </c>
    </row>
    <row r="44" spans="1:24" x14ac:dyDescent="0.35">
      <c r="R44" s="16" t="s">
        <v>33</v>
      </c>
      <c r="S44" s="16"/>
    </row>
    <row r="45" spans="1:24" ht="15" thickBot="1" x14ac:dyDescent="0.4">
      <c r="A45" s="1" t="s">
        <v>76</v>
      </c>
      <c r="J45" t="s">
        <v>77</v>
      </c>
      <c r="R45" t="s">
        <v>42</v>
      </c>
      <c r="S45">
        <v>0.32436576379192761</v>
      </c>
    </row>
    <row r="46" spans="1:24" ht="15" thickBot="1" x14ac:dyDescent="0.4">
      <c r="J46" s="18" t="s">
        <v>61</v>
      </c>
      <c r="K46" s="18" t="s">
        <v>37</v>
      </c>
      <c r="L46" s="18" t="s">
        <v>38</v>
      </c>
      <c r="M46" s="18" t="s">
        <v>39</v>
      </c>
      <c r="N46" s="18" t="s">
        <v>40</v>
      </c>
      <c r="O46" s="18" t="s">
        <v>41</v>
      </c>
      <c r="R46" t="s">
        <v>45</v>
      </c>
      <c r="S46">
        <v>0.10521314872032059</v>
      </c>
    </row>
    <row r="47" spans="1:24" x14ac:dyDescent="0.35">
      <c r="A47" s="18" t="s">
        <v>78</v>
      </c>
      <c r="B47" s="18" t="s">
        <v>79</v>
      </c>
      <c r="C47" s="18" t="s">
        <v>80</v>
      </c>
      <c r="D47" s="18" t="s">
        <v>81</v>
      </c>
      <c r="J47" t="s">
        <v>71</v>
      </c>
      <c r="K47">
        <f>K7-1</f>
        <v>3</v>
      </c>
      <c r="L47">
        <f>L49-L48</f>
        <v>571.02988334509587</v>
      </c>
      <c r="M47">
        <f>L47/K47</f>
        <v>190.3432944483653</v>
      </c>
      <c r="N47">
        <f>M47/M48</f>
        <v>3.3364815845012732</v>
      </c>
      <c r="O47">
        <f>FDIST(N47,K47,K48)</f>
        <v>3.1940102263091824E-2</v>
      </c>
      <c r="R47" t="s">
        <v>48</v>
      </c>
      <c r="S47">
        <v>2.1326881412850648E-2</v>
      </c>
    </row>
    <row r="48" spans="1:24" x14ac:dyDescent="0.35">
      <c r="A48" s="17" t="s">
        <v>5</v>
      </c>
      <c r="B48">
        <f>AVERAGE(A4:A11)</f>
        <v>22.875</v>
      </c>
      <c r="C48">
        <f>AVERAGE(B4:B11)</f>
        <v>45.987499999999997</v>
      </c>
      <c r="D48">
        <f>B48-$S$36*(C48-C$52)</f>
        <v>23.783025119760339</v>
      </c>
      <c r="J48" t="s">
        <v>47</v>
      </c>
      <c r="K48">
        <f>K34</f>
        <v>31</v>
      </c>
      <c r="L48">
        <f>L34</f>
        <v>1768.5223126389094</v>
      </c>
      <c r="M48">
        <f>L48/K48</f>
        <v>57.049106859319657</v>
      </c>
      <c r="R48" t="s">
        <v>50</v>
      </c>
      <c r="S48">
        <v>22.453808488205294</v>
      </c>
    </row>
    <row r="49" spans="1:23" ht="15" thickBot="1" x14ac:dyDescent="0.4">
      <c r="A49" s="17" t="s">
        <v>6</v>
      </c>
      <c r="B49">
        <f>AVERAGE(A12:A19)</f>
        <v>33.75</v>
      </c>
      <c r="C49">
        <f>AVERAGE(B12:B19)</f>
        <v>60.262500000000003</v>
      </c>
      <c r="D49">
        <f>B49-$S$36*(C49-C$52)</f>
        <v>30.053840521389954</v>
      </c>
      <c r="J49" s="25" t="s">
        <v>73</v>
      </c>
      <c r="K49" s="25">
        <f>K47+K48</f>
        <v>34</v>
      </c>
      <c r="L49" s="25">
        <f>L9-B43^2*B41</f>
        <v>2339.5521959840053</v>
      </c>
      <c r="M49" s="25"/>
      <c r="N49" s="25"/>
      <c r="O49" s="25"/>
      <c r="R49" s="25" t="s">
        <v>52</v>
      </c>
      <c r="S49" s="25">
        <v>36</v>
      </c>
    </row>
    <row r="50" spans="1:23" x14ac:dyDescent="0.35">
      <c r="A50" s="17" t="s">
        <v>7</v>
      </c>
      <c r="B50">
        <f>AVERAGE(A20:A29)</f>
        <v>21.9</v>
      </c>
      <c r="C50">
        <f>AVERAGE(B20:B29)</f>
        <v>50.559999999999995</v>
      </c>
      <c r="D50">
        <f>B50-$S$36*(C50-C$52)</f>
        <v>21.333234641578301</v>
      </c>
    </row>
    <row r="51" spans="1:23" ht="15" thickBot="1" x14ac:dyDescent="0.4">
      <c r="A51" s="30" t="s">
        <v>8</v>
      </c>
      <c r="B51" s="25">
        <f>AVERAGE(A30:A39)</f>
        <v>15.8</v>
      </c>
      <c r="C51" s="25">
        <f>AVERAGE(B30:B39)</f>
        <v>40.129999999999995</v>
      </c>
      <c r="D51" s="25">
        <f>B51-$S$36*(C51-C$52)</f>
        <v>18.597272845501465</v>
      </c>
      <c r="R51" t="s">
        <v>56</v>
      </c>
    </row>
    <row r="52" spans="1:23" x14ac:dyDescent="0.35">
      <c r="B52">
        <f>AVERAGE(A4:A39)</f>
        <v>23.055555555555557</v>
      </c>
      <c r="C52">
        <f>AVERAGE(B4:B39)</f>
        <v>48.802777777777777</v>
      </c>
      <c r="D52">
        <f>AVERAGE(D48:D51)</f>
        <v>23.441843282057516</v>
      </c>
      <c r="J52" s="1" t="s">
        <v>82</v>
      </c>
      <c r="R52" s="18"/>
      <c r="S52" s="18" t="s">
        <v>37</v>
      </c>
      <c r="T52" s="18" t="s">
        <v>38</v>
      </c>
      <c r="U52" s="18" t="s">
        <v>39</v>
      </c>
      <c r="V52" s="18" t="s">
        <v>40</v>
      </c>
      <c r="W52" s="18" t="s">
        <v>41</v>
      </c>
    </row>
    <row r="53" spans="1:23" x14ac:dyDescent="0.35">
      <c r="R53" t="s">
        <v>44</v>
      </c>
      <c r="S53">
        <v>3</v>
      </c>
      <c r="T53">
        <v>1897.0572222222254</v>
      </c>
      <c r="U53">
        <v>632.35240740740846</v>
      </c>
      <c r="V53">
        <v>1.2542356704784683</v>
      </c>
      <c r="W53">
        <v>0.30655018520822414</v>
      </c>
    </row>
    <row r="54" spans="1:23" ht="15" thickBot="1" x14ac:dyDescent="0.4">
      <c r="J54" t="s">
        <v>83</v>
      </c>
      <c r="R54" t="s">
        <v>47</v>
      </c>
      <c r="S54">
        <v>32</v>
      </c>
      <c r="T54">
        <v>16133.552500000002</v>
      </c>
      <c r="U54">
        <v>504.17351562500005</v>
      </c>
    </row>
    <row r="55" spans="1:23" ht="15" thickBot="1" x14ac:dyDescent="0.4">
      <c r="A55" s="18" t="s">
        <v>78</v>
      </c>
      <c r="B55" s="18" t="s">
        <v>79</v>
      </c>
      <c r="C55" s="18" t="s">
        <v>84</v>
      </c>
      <c r="R55" s="25" t="s">
        <v>49</v>
      </c>
      <c r="S55" s="25">
        <v>35</v>
      </c>
      <c r="T55" s="25">
        <v>18030.609722222227</v>
      </c>
      <c r="U55" s="25"/>
      <c r="V55" s="25"/>
      <c r="W55" s="25"/>
    </row>
    <row r="56" spans="1:23" x14ac:dyDescent="0.35">
      <c r="A56" s="17" t="s">
        <v>5</v>
      </c>
      <c r="B56">
        <f>AVERAGE(A4:A11)</f>
        <v>22.875</v>
      </c>
      <c r="C56">
        <f>C59+S37</f>
        <v>23.783025119760339</v>
      </c>
      <c r="J56" t="s">
        <v>85</v>
      </c>
      <c r="K56" s="22">
        <f>L33/L35</f>
        <v>0.11649180474886933</v>
      </c>
    </row>
    <row r="57" spans="1:23" x14ac:dyDescent="0.35">
      <c r="A57" s="17" t="s">
        <v>6</v>
      </c>
      <c r="B57">
        <f>AVERAGE(A12:A19)</f>
        <v>33.75</v>
      </c>
      <c r="C57">
        <f>C59+S38</f>
        <v>30.053840521389958</v>
      </c>
      <c r="J57" t="s">
        <v>86</v>
      </c>
      <c r="K57" s="23">
        <f>L33/(L33+L34)</f>
        <v>0.24407657342516512</v>
      </c>
    </row>
    <row r="58" spans="1:23" x14ac:dyDescent="0.35">
      <c r="A58" s="17" t="s">
        <v>7</v>
      </c>
      <c r="B58">
        <f>AVERAGE(A20:A29)</f>
        <v>21.9</v>
      </c>
      <c r="C58">
        <f>C59+S39</f>
        <v>21.333234641578304</v>
      </c>
      <c r="R58" t="s">
        <v>87</v>
      </c>
    </row>
    <row r="59" spans="1:23" ht="15" thickBot="1" x14ac:dyDescent="0.4">
      <c r="A59" s="30" t="s">
        <v>8</v>
      </c>
      <c r="B59" s="25">
        <f>AVERAGE(A30:A39)</f>
        <v>15.8</v>
      </c>
      <c r="C59" s="25">
        <f>S35+C52*S36</f>
        <v>18.597272845501461</v>
      </c>
      <c r="J59" t="s">
        <v>88</v>
      </c>
    </row>
    <row r="60" spans="1:23" x14ac:dyDescent="0.35">
      <c r="B60">
        <f>AVERAGE(A4:A39)</f>
        <v>23.055555555555557</v>
      </c>
      <c r="C60">
        <f>AVERAGE(C56:C59)</f>
        <v>23.441843282057516</v>
      </c>
      <c r="R60" s="16" t="s">
        <v>33</v>
      </c>
      <c r="S60" s="16"/>
    </row>
    <row r="61" spans="1:23" x14ac:dyDescent="0.35">
      <c r="J61" t="s">
        <v>85</v>
      </c>
      <c r="K61" s="22">
        <f>L32/L35</f>
        <v>0.34238896992655465</v>
      </c>
      <c r="R61" t="s">
        <v>42</v>
      </c>
      <c r="S61">
        <v>0.54481848977319036</v>
      </c>
    </row>
    <row r="62" spans="1:23" x14ac:dyDescent="0.35">
      <c r="J62" t="s">
        <v>86</v>
      </c>
      <c r="K62" s="23">
        <f>L32/(L32+L34)</f>
        <v>0.48692009062153119</v>
      </c>
      <c r="R62" t="s">
        <v>45</v>
      </c>
      <c r="S62">
        <v>0.29682718679873993</v>
      </c>
    </row>
    <row r="63" spans="1:23" x14ac:dyDescent="0.35">
      <c r="R63" t="s">
        <v>48</v>
      </c>
      <c r="S63">
        <v>0.23090473556112179</v>
      </c>
    </row>
    <row r="64" spans="1:23" x14ac:dyDescent="0.35">
      <c r="J64" t="s">
        <v>89</v>
      </c>
      <c r="R64" t="s">
        <v>50</v>
      </c>
      <c r="S64">
        <v>10.378576190884759</v>
      </c>
    </row>
    <row r="65" spans="10:23" ht="15" thickBot="1" x14ac:dyDescent="0.4">
      <c r="R65" s="25" t="s">
        <v>52</v>
      </c>
      <c r="S65" s="25">
        <v>36</v>
      </c>
    </row>
    <row r="66" spans="10:23" x14ac:dyDescent="0.35">
      <c r="J66" t="s">
        <v>90</v>
      </c>
      <c r="K66" s="28">
        <f>SQRT(U36^2/(U36^2+S31))</f>
        <v>0.69779659688302542</v>
      </c>
    </row>
    <row r="67" spans="10:23" ht="15" thickBot="1" x14ac:dyDescent="0.4">
      <c r="R67" t="s">
        <v>56</v>
      </c>
    </row>
    <row r="68" spans="10:23" x14ac:dyDescent="0.35">
      <c r="R68" s="18"/>
      <c r="S68" s="18" t="s">
        <v>37</v>
      </c>
      <c r="T68" s="18" t="s">
        <v>38</v>
      </c>
      <c r="U68" s="18" t="s">
        <v>39</v>
      </c>
      <c r="V68" s="18" t="s">
        <v>40</v>
      </c>
      <c r="W68" s="18" t="s">
        <v>41</v>
      </c>
    </row>
    <row r="69" spans="10:23" x14ac:dyDescent="0.35">
      <c r="R69" t="s">
        <v>44</v>
      </c>
      <c r="S69">
        <v>3</v>
      </c>
      <c r="T69">
        <v>1455.0138888888901</v>
      </c>
      <c r="U69">
        <v>485.00462962963002</v>
      </c>
      <c r="V69">
        <v>4.5026721735334654</v>
      </c>
      <c r="W69">
        <v>9.5805875705777723E-3</v>
      </c>
    </row>
    <row r="70" spans="10:23" x14ac:dyDescent="0.35">
      <c r="R70" t="s">
        <v>47</v>
      </c>
      <c r="S70">
        <v>32</v>
      </c>
      <c r="T70">
        <v>3446.8749999999995</v>
      </c>
      <c r="U70">
        <v>107.71484374999999</v>
      </c>
    </row>
    <row r="71" spans="10:23" ht="15" thickBot="1" x14ac:dyDescent="0.4">
      <c r="R71" s="25" t="s">
        <v>49</v>
      </c>
      <c r="S71" s="25">
        <v>35</v>
      </c>
      <c r="T71" s="25">
        <v>4901.8888888888896</v>
      </c>
      <c r="U71" s="25"/>
      <c r="V71" s="25"/>
      <c r="W71" s="25"/>
    </row>
    <row r="74" spans="10:23" x14ac:dyDescent="0.35">
      <c r="R74" t="s">
        <v>91</v>
      </c>
    </row>
    <row r="75" spans="10:23" ht="15" thickBot="1" x14ac:dyDescent="0.4"/>
    <row r="76" spans="10:23" x14ac:dyDescent="0.35">
      <c r="R76" s="16" t="s">
        <v>33</v>
      </c>
      <c r="S76" s="16"/>
    </row>
    <row r="77" spans="10:23" x14ac:dyDescent="0.35">
      <c r="R77" t="s">
        <v>42</v>
      </c>
      <c r="S77">
        <v>0.72299678559204206</v>
      </c>
    </row>
    <row r="78" spans="10:23" x14ac:dyDescent="0.35">
      <c r="R78" t="s">
        <v>45</v>
      </c>
      <c r="S78">
        <v>0.52272435197642519</v>
      </c>
    </row>
    <row r="79" spans="10:23" x14ac:dyDescent="0.35">
      <c r="R79" t="s">
        <v>48</v>
      </c>
      <c r="S79">
        <v>0.5086868329169083</v>
      </c>
    </row>
    <row r="80" spans="10:23" x14ac:dyDescent="0.35">
      <c r="R80" t="s">
        <v>50</v>
      </c>
      <c r="S80">
        <v>8.2952009442455292</v>
      </c>
    </row>
    <row r="81" spans="18:23" ht="15" thickBot="1" x14ac:dyDescent="0.4">
      <c r="R81" s="25" t="s">
        <v>52</v>
      </c>
      <c r="S81" s="25">
        <v>36</v>
      </c>
    </row>
    <row r="83" spans="18:23" ht="15" thickBot="1" x14ac:dyDescent="0.4">
      <c r="R83" t="s">
        <v>56</v>
      </c>
    </row>
    <row r="84" spans="18:23" x14ac:dyDescent="0.35">
      <c r="R84" s="18"/>
      <c r="S84" s="18" t="s">
        <v>37</v>
      </c>
      <c r="T84" s="18" t="s">
        <v>38</v>
      </c>
      <c r="U84" s="18" t="s">
        <v>39</v>
      </c>
      <c r="V84" s="18" t="s">
        <v>40</v>
      </c>
      <c r="W84" s="18" t="s">
        <v>41</v>
      </c>
    </row>
    <row r="85" spans="18:23" x14ac:dyDescent="0.35">
      <c r="R85" t="s">
        <v>44</v>
      </c>
      <c r="S85">
        <v>1</v>
      </c>
      <c r="T85">
        <v>2562.3366929048839</v>
      </c>
      <c r="U85">
        <v>2562.3366929048839</v>
      </c>
      <c r="V85">
        <v>37.237659287239794</v>
      </c>
      <c r="W85">
        <v>6.3463662804716112E-7</v>
      </c>
    </row>
    <row r="86" spans="18:23" x14ac:dyDescent="0.35">
      <c r="R86" t="s">
        <v>47</v>
      </c>
      <c r="S86">
        <v>34</v>
      </c>
      <c r="T86">
        <v>2339.5521959840057</v>
      </c>
      <c r="U86">
        <v>68.810358705411929</v>
      </c>
    </row>
    <row r="87" spans="18:23" ht="15" thickBot="1" x14ac:dyDescent="0.4">
      <c r="R87" s="25" t="s">
        <v>49</v>
      </c>
      <c r="S87" s="25">
        <v>35</v>
      </c>
      <c r="T87" s="25">
        <v>4901.8888888888896</v>
      </c>
      <c r="U87" s="25"/>
      <c r="V87" s="25"/>
      <c r="W87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Charts</vt:lpstr>
      <vt:lpstr>Slopes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2024-11-18T08:35:40Z</dcterms:created>
  <dcterms:modified xsi:type="dcterms:W3CDTF">2024-11-18T08:52:04Z</dcterms:modified>
</cp:coreProperties>
</file>