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DFDAE617-1CCB-40D9-8EFC-F61CF7E09C68}" xr6:coauthVersionLast="47" xr6:coauthVersionMax="47" xr10:uidLastSave="{00000000-0000-0000-0000-000000000000}"/>
  <bookViews>
    <workbookView xWindow="-110" yWindow="-110" windowWidth="19420" windowHeight="10300" xr2:uid="{68F8AA57-0324-4567-81DA-831ED34A6E85}"/>
  </bookViews>
  <sheets>
    <sheet name="Title" sheetId="2" r:id="rId1"/>
    <sheet name="2B+1W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3" l="1"/>
  <c r="N9" i="3" s="1"/>
  <c r="S16" i="3"/>
  <c r="Q11" i="3"/>
  <c r="S11" i="3" s="1"/>
  <c r="Q16" i="3"/>
  <c r="R15" i="3"/>
  <c r="R14" i="3"/>
  <c r="R13" i="3"/>
  <c r="R12" i="3"/>
  <c r="R11" i="3"/>
  <c r="R10" i="3"/>
  <c r="R16" i="3"/>
  <c r="R9" i="3"/>
  <c r="R8" i="3"/>
  <c r="R7" i="3"/>
  <c r="R6" i="3"/>
  <c r="R5" i="3"/>
  <c r="N19" i="3"/>
  <c r="K18" i="3"/>
  <c r="L18" i="3"/>
  <c r="M18" i="3"/>
  <c r="K19" i="3"/>
  <c r="L19" i="3"/>
  <c r="M19" i="3"/>
  <c r="J19" i="3"/>
  <c r="I19" i="3"/>
  <c r="I18" i="3"/>
  <c r="N16" i="3"/>
  <c r="K15" i="3"/>
  <c r="L15" i="3"/>
  <c r="M15" i="3"/>
  <c r="K16" i="3"/>
  <c r="L16" i="3"/>
  <c r="M16" i="3"/>
  <c r="J16" i="3"/>
  <c r="H16" i="3"/>
  <c r="H15" i="3"/>
  <c r="K13" i="3"/>
  <c r="L13" i="3"/>
  <c r="M13" i="3"/>
  <c r="J13" i="3"/>
  <c r="N10" i="3"/>
  <c r="N11" i="3"/>
  <c r="N12" i="3"/>
  <c r="K9" i="3"/>
  <c r="L9" i="3"/>
  <c r="M9" i="3"/>
  <c r="K10" i="3"/>
  <c r="L10" i="3"/>
  <c r="M10" i="3"/>
  <c r="K11" i="3"/>
  <c r="L11" i="3"/>
  <c r="M11" i="3"/>
  <c r="K12" i="3"/>
  <c r="L12" i="3"/>
  <c r="M12" i="3"/>
  <c r="J12" i="3"/>
  <c r="J11" i="3"/>
  <c r="J10" i="3"/>
  <c r="I12" i="3"/>
  <c r="I11" i="3"/>
  <c r="I10" i="3"/>
  <c r="I9" i="3"/>
  <c r="H12" i="3"/>
  <c r="H11" i="3"/>
  <c r="H10" i="3"/>
  <c r="H9" i="3"/>
  <c r="I8" i="3"/>
  <c r="J8" i="3"/>
  <c r="K8" i="3"/>
  <c r="L8" i="3"/>
  <c r="M8" i="3"/>
  <c r="H8" i="3"/>
  <c r="L4" i="3"/>
  <c r="Q5" i="3" a="1"/>
  <c r="J15" i="3" l="1"/>
  <c r="J18" i="3"/>
  <c r="Q5" i="3"/>
  <c r="Q10" i="3" l="1"/>
  <c r="S10" i="3" s="1"/>
  <c r="S5" i="3"/>
  <c r="N18" i="3"/>
  <c r="Q7" i="3" s="1"/>
  <c r="Q13" i="3"/>
  <c r="N15" i="3"/>
  <c r="Q6" i="3" s="1"/>
  <c r="S6" i="3" l="1"/>
  <c r="Q8" i="3"/>
  <c r="Q12" i="3"/>
  <c r="S13" i="3"/>
  <c r="S7" i="3"/>
  <c r="S8" i="3" l="1"/>
  <c r="S12" i="3"/>
  <c r="Q14" i="3"/>
  <c r="Q9" i="3"/>
  <c r="V8" i="3" s="1"/>
  <c r="S9" i="3" l="1"/>
  <c r="V6" i="3"/>
  <c r="V7" i="3"/>
  <c r="S14" i="3"/>
  <c r="Q15" i="3"/>
  <c r="S15" i="3" l="1"/>
  <c r="T14" i="3" s="1"/>
  <c r="U14" i="3" s="1"/>
  <c r="V11" i="3"/>
  <c r="V13" i="3"/>
  <c r="V12" i="3"/>
  <c r="V14" i="3"/>
  <c r="T6" i="3"/>
  <c r="U6" i="3" s="1"/>
  <c r="T7" i="3"/>
  <c r="U7" i="3" s="1"/>
  <c r="T8" i="3"/>
  <c r="U8" i="3" s="1"/>
  <c r="T11" i="3" l="1"/>
  <c r="U11" i="3" s="1"/>
  <c r="T13" i="3"/>
  <c r="U13" i="3" s="1"/>
  <c r="T12" i="3"/>
  <c r="U12" i="3" s="1"/>
</calcChain>
</file>

<file path=xl/sharedStrings.xml><?xml version="1.0" encoding="utf-8"?>
<sst xmlns="http://schemas.openxmlformats.org/spreadsheetml/2006/main" count="117" uniqueCount="40">
  <si>
    <t>Counts</t>
  </si>
  <si>
    <t>Three Factor (2B+1W) Repeated Measures Anova</t>
  </si>
  <si>
    <t>Age</t>
  </si>
  <si>
    <t>Gender</t>
  </si>
  <si>
    <t>Day 1</t>
  </si>
  <si>
    <t>Day 2</t>
  </si>
  <si>
    <t>Day 3</t>
  </si>
  <si>
    <t>Young</t>
  </si>
  <si>
    <t>Male</t>
  </si>
  <si>
    <t>Fact A</t>
  </si>
  <si>
    <t>Fact B</t>
  </si>
  <si>
    <t>Rep Meas</t>
  </si>
  <si>
    <t>Subject</t>
  </si>
  <si>
    <t>ANOVA</t>
  </si>
  <si>
    <t>Alpha</t>
  </si>
  <si>
    <t>SS</t>
  </si>
  <si>
    <t>df</t>
  </si>
  <si>
    <t>MS</t>
  </si>
  <si>
    <t>F</t>
  </si>
  <si>
    <t>P value</t>
  </si>
  <si>
    <t>P Eta-sq</t>
  </si>
  <si>
    <t>Between Subjects</t>
  </si>
  <si>
    <t>Female</t>
  </si>
  <si>
    <t>- Factor A</t>
  </si>
  <si>
    <t>- Factor B</t>
  </si>
  <si>
    <t>- Interaction AxB</t>
  </si>
  <si>
    <t>- Error</t>
  </si>
  <si>
    <t>Within Subjects</t>
  </si>
  <si>
    <t>- Rep Measures</t>
  </si>
  <si>
    <t>- Rep Meas x A</t>
  </si>
  <si>
    <t>- Rep Meas x B</t>
  </si>
  <si>
    <t>- Rep Meas x AxB</t>
  </si>
  <si>
    <t>Old</t>
  </si>
  <si>
    <t>Total</t>
  </si>
  <si>
    <t>Real Statistics Using Excel</t>
  </si>
  <si>
    <t>Updated</t>
  </si>
  <si>
    <t>Copyright © 2013 - 2024 Charles Zaiontz</t>
  </si>
  <si>
    <t>Day 4</t>
  </si>
  <si>
    <t>Interactions</t>
  </si>
  <si>
    <t>Two between subjects factors and one within subjects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</si>
</sst>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5" xfId="0" applyBorder="1"/>
    <xf numFmtId="15" fontId="0" fillId="0" borderId="0" xfId="0" applyNumberFormat="1"/>
    <xf numFmtId="0" fontId="2" fillId="0" borderId="0" xfId="0" applyFont="1"/>
    <xf numFmtId="0" fontId="3" fillId="0" borderId="0" xfId="0" applyFont="1"/>
    <xf numFmtId="0" fontId="0" fillId="2" borderId="4" xfId="0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0" xfId="0" applyFill="1"/>
    <xf numFmtId="0" fontId="0" fillId="2" borderId="8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MEANR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38C64-8700-4C85-A2A7-D246C8BCCC91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34</v>
      </c>
    </row>
    <row r="2" spans="1:13" x14ac:dyDescent="0.35">
      <c r="A2" t="s">
        <v>39</v>
      </c>
    </row>
    <row r="4" spans="1:13" x14ac:dyDescent="0.35">
      <c r="A4" t="s">
        <v>35</v>
      </c>
      <c r="B4" s="23">
        <v>45483</v>
      </c>
    </row>
    <row r="6" spans="1:13" x14ac:dyDescent="0.35">
      <c r="A6" s="24" t="s">
        <v>36</v>
      </c>
    </row>
    <row r="10" spans="1:13" ht="18.5" x14ac:dyDescent="0.45">
      <c r="M10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CA07A-79C3-4012-A5CD-F8039FA50048}">
  <sheetPr codeName="Sheet2"/>
  <dimension ref="A1:V41"/>
  <sheetViews>
    <sheetView workbookViewId="0"/>
  </sheetViews>
  <sheetFormatPr defaultRowHeight="14.5" x14ac:dyDescent="0.35"/>
  <cols>
    <col min="16" max="16" width="16.6328125" customWidth="1"/>
  </cols>
  <sheetData>
    <row r="1" spans="1:22" x14ac:dyDescent="0.35">
      <c r="A1" s="1" t="s">
        <v>2</v>
      </c>
      <c r="B1" s="1" t="s">
        <v>3</v>
      </c>
      <c r="C1" s="2" t="s">
        <v>4</v>
      </c>
      <c r="D1" s="2" t="s">
        <v>5</v>
      </c>
      <c r="E1" s="2" t="s">
        <v>6</v>
      </c>
      <c r="F1" s="2" t="s">
        <v>37</v>
      </c>
      <c r="H1" t="s">
        <v>0</v>
      </c>
      <c r="P1" t="s">
        <v>1</v>
      </c>
    </row>
    <row r="2" spans="1:22" x14ac:dyDescent="0.35">
      <c r="A2" s="7" t="s">
        <v>7</v>
      </c>
      <c r="B2" s="8" t="s">
        <v>8</v>
      </c>
      <c r="C2" s="26">
        <v>8</v>
      </c>
      <c r="D2" s="27">
        <v>34</v>
      </c>
      <c r="E2" s="27">
        <v>20</v>
      </c>
      <c r="F2" s="28">
        <v>20</v>
      </c>
    </row>
    <row r="3" spans="1:22" ht="15" thickBot="1" x14ac:dyDescent="0.4">
      <c r="A3" s="9" t="s">
        <v>7</v>
      </c>
      <c r="B3" s="10" t="s">
        <v>8</v>
      </c>
      <c r="C3" s="29">
        <v>40</v>
      </c>
      <c r="D3" s="30">
        <v>17</v>
      </c>
      <c r="E3" s="30">
        <v>27</v>
      </c>
      <c r="F3" s="31">
        <v>39</v>
      </c>
      <c r="H3" s="3" t="s">
        <v>9</v>
      </c>
      <c r="I3" s="3" t="s">
        <v>10</v>
      </c>
      <c r="J3" s="3" t="s">
        <v>11</v>
      </c>
      <c r="K3" s="3" t="s">
        <v>12</v>
      </c>
      <c r="P3" t="s">
        <v>13</v>
      </c>
      <c r="T3" s="3" t="s">
        <v>14</v>
      </c>
      <c r="U3" s="3">
        <v>0.05</v>
      </c>
    </row>
    <row r="4" spans="1:22" ht="15" thickTop="1" x14ac:dyDescent="0.35">
      <c r="A4" s="9" t="s">
        <v>7</v>
      </c>
      <c r="B4" s="10" t="s">
        <v>8</v>
      </c>
      <c r="C4" s="29">
        <v>85</v>
      </c>
      <c r="D4" s="30">
        <v>49</v>
      </c>
      <c r="E4" s="30">
        <v>81</v>
      </c>
      <c r="F4" s="31">
        <v>30</v>
      </c>
      <c r="H4" s="11">
        <v>2</v>
      </c>
      <c r="I4" s="12">
        <v>2</v>
      </c>
      <c r="J4" s="12">
        <v>4</v>
      </c>
      <c r="K4" s="13">
        <v>10</v>
      </c>
      <c r="L4">
        <f>PRODUCT(H4:K4)</f>
        <v>160</v>
      </c>
      <c r="P4" s="14"/>
      <c r="Q4" s="14" t="s">
        <v>15</v>
      </c>
      <c r="R4" s="14" t="s">
        <v>16</v>
      </c>
      <c r="S4" s="14" t="s">
        <v>17</v>
      </c>
      <c r="T4" s="14" t="s">
        <v>18</v>
      </c>
      <c r="U4" s="14" t="s">
        <v>19</v>
      </c>
      <c r="V4" s="14" t="s">
        <v>20</v>
      </c>
    </row>
    <row r="5" spans="1:22" x14ac:dyDescent="0.35">
      <c r="A5" s="9" t="s">
        <v>7</v>
      </c>
      <c r="B5" s="10" t="s">
        <v>8</v>
      </c>
      <c r="C5" s="29">
        <v>20</v>
      </c>
      <c r="D5" s="30">
        <v>56</v>
      </c>
      <c r="E5" s="30">
        <v>42</v>
      </c>
      <c r="F5" s="31">
        <v>37</v>
      </c>
      <c r="P5" t="s">
        <v>21</v>
      </c>
      <c r="Q5">
        <f t="array" ref="Q5">DEVSQ([1]!MEANROW(C2:F41))*J4</f>
        <v>47740.943750000006</v>
      </c>
      <c r="R5">
        <f>L4/J4-1</f>
        <v>39</v>
      </c>
      <c r="S5">
        <f>Q5/R5</f>
        <v>1224.126762820513</v>
      </c>
    </row>
    <row r="6" spans="1:22" x14ac:dyDescent="0.35">
      <c r="A6" s="9" t="s">
        <v>7</v>
      </c>
      <c r="B6" s="10" t="s">
        <v>8</v>
      </c>
      <c r="C6" s="29">
        <v>47</v>
      </c>
      <c r="D6" s="30">
        <v>37</v>
      </c>
      <c r="E6" s="30">
        <v>34</v>
      </c>
      <c r="F6" s="31">
        <v>35</v>
      </c>
      <c r="H6" t="s">
        <v>38</v>
      </c>
      <c r="P6" t="s">
        <v>23</v>
      </c>
      <c r="Q6">
        <f>DEVSQ(N15:N16)*L4/(R6+1)</f>
        <v>88.506250000000506</v>
      </c>
      <c r="R6">
        <f>H4-1</f>
        <v>1</v>
      </c>
      <c r="S6">
        <f t="shared" ref="S6:S16" si="0">Q6/R6</f>
        <v>88.506250000000506</v>
      </c>
      <c r="T6">
        <f>S6/S$9</f>
        <v>7.9826903600037274E-2</v>
      </c>
      <c r="U6">
        <f>_xlfn.F.DIST.RT(T6,R6,R$9)</f>
        <v>0.7791502698136985</v>
      </c>
      <c r="V6">
        <f>Q6/(Q6+Q$9)</f>
        <v>2.21250794282697E-3</v>
      </c>
    </row>
    <row r="7" spans="1:22" x14ac:dyDescent="0.35">
      <c r="A7" s="9" t="s">
        <v>7</v>
      </c>
      <c r="B7" s="10" t="s">
        <v>8</v>
      </c>
      <c r="C7" s="29">
        <v>17</v>
      </c>
      <c r="D7" s="30">
        <v>8</v>
      </c>
      <c r="E7" s="30">
        <v>30</v>
      </c>
      <c r="F7" s="31">
        <v>39</v>
      </c>
      <c r="P7" t="s">
        <v>24</v>
      </c>
      <c r="Q7">
        <f>DEVSQ(N18:N19)*L4/(R7+1)</f>
        <v>7576.256250000004</v>
      </c>
      <c r="R7">
        <f>I4-1</f>
        <v>1</v>
      </c>
      <c r="S7">
        <f t="shared" si="0"/>
        <v>7576.256250000004</v>
      </c>
      <c r="T7">
        <f t="shared" ref="T7:T8" si="1">S7/S$9</f>
        <v>6.8332923078079437</v>
      </c>
      <c r="U7">
        <f t="shared" ref="U7:U8" si="2">_xlfn.F.DIST.RT(T7,R7,R$9)</f>
        <v>1.2981328481153657E-2</v>
      </c>
      <c r="V7">
        <f t="shared" ref="V7:V8" si="3">Q7/(Q7+Q$9)</f>
        <v>0.15953226893470257</v>
      </c>
    </row>
    <row r="8" spans="1:22" x14ac:dyDescent="0.35">
      <c r="A8" s="9" t="s">
        <v>7</v>
      </c>
      <c r="B8" s="10" t="s">
        <v>8</v>
      </c>
      <c r="C8" s="29">
        <v>20</v>
      </c>
      <c r="D8" s="30">
        <v>56</v>
      </c>
      <c r="E8" s="30">
        <v>42</v>
      </c>
      <c r="F8" s="31">
        <v>35</v>
      </c>
      <c r="H8" s="3" t="str">
        <f>A1</f>
        <v>Age</v>
      </c>
      <c r="I8" s="3" t="str">
        <f t="shared" ref="I8:M8" si="4">B1</f>
        <v>Gender</v>
      </c>
      <c r="J8" s="3" t="str">
        <f t="shared" si="4"/>
        <v>Day 1</v>
      </c>
      <c r="K8" s="3" t="str">
        <f t="shared" si="4"/>
        <v>Day 2</v>
      </c>
      <c r="L8" s="3" t="str">
        <f t="shared" si="4"/>
        <v>Day 3</v>
      </c>
      <c r="M8" s="3" t="str">
        <f t="shared" si="4"/>
        <v>Day 4</v>
      </c>
      <c r="P8" t="s">
        <v>25</v>
      </c>
      <c r="Q8">
        <f>DEVSQ(N9:N12)*J4*K4-Q6-Q7</f>
        <v>162.00624999999673</v>
      </c>
      <c r="R8">
        <f>R6*R7</f>
        <v>1</v>
      </c>
      <c r="S8">
        <f t="shared" si="0"/>
        <v>162.00624999999673</v>
      </c>
      <c r="T8">
        <f t="shared" si="1"/>
        <v>0.14611914188380148</v>
      </c>
      <c r="U8">
        <f t="shared" si="2"/>
        <v>0.70451940091980125</v>
      </c>
      <c r="V8">
        <f t="shared" si="3"/>
        <v>4.0424572638141946E-3</v>
      </c>
    </row>
    <row r="9" spans="1:22" x14ac:dyDescent="0.35">
      <c r="A9" s="9" t="s">
        <v>7</v>
      </c>
      <c r="B9" s="10" t="s">
        <v>8</v>
      </c>
      <c r="C9" s="29">
        <v>32</v>
      </c>
      <c r="D9" s="30">
        <v>32</v>
      </c>
      <c r="E9" s="30">
        <v>32</v>
      </c>
      <c r="F9" s="31">
        <v>17</v>
      </c>
      <c r="H9" t="str">
        <f>A2</f>
        <v>Young</v>
      </c>
      <c r="I9" t="str">
        <f>B2</f>
        <v>Male</v>
      </c>
      <c r="J9" s="17">
        <f>AVERAGE(C2:C11)</f>
        <v>29.4</v>
      </c>
      <c r="K9" s="18">
        <f t="shared" ref="K9:M9" si="5">AVERAGE(D2:D11)</f>
        <v>31.3</v>
      </c>
      <c r="L9" s="18">
        <f t="shared" si="5"/>
        <v>35.5</v>
      </c>
      <c r="M9" s="4">
        <f t="shared" si="5"/>
        <v>26.5</v>
      </c>
      <c r="N9">
        <f>AVERAGE(J9:M9)</f>
        <v>30.675000000000001</v>
      </c>
      <c r="P9" t="s">
        <v>26</v>
      </c>
      <c r="Q9">
        <f>Q5-Q6-Q7-Q8</f>
        <v>39914.175000000003</v>
      </c>
      <c r="R9">
        <f>R5-R6-R7-R8</f>
        <v>36</v>
      </c>
      <c r="S9">
        <f t="shared" si="0"/>
        <v>1108.7270833333334</v>
      </c>
    </row>
    <row r="10" spans="1:22" x14ac:dyDescent="0.35">
      <c r="A10" s="9" t="s">
        <v>7</v>
      </c>
      <c r="B10" s="10" t="s">
        <v>8</v>
      </c>
      <c r="C10" s="29">
        <v>5</v>
      </c>
      <c r="D10" s="30">
        <v>1</v>
      </c>
      <c r="E10" s="30">
        <v>17</v>
      </c>
      <c r="F10" s="31">
        <v>0</v>
      </c>
      <c r="H10" t="str">
        <f>H9</f>
        <v>Young</v>
      </c>
      <c r="I10" t="str">
        <f>B12</f>
        <v>Female</v>
      </c>
      <c r="J10" s="19">
        <f>AVERAGE(C12:C21)</f>
        <v>9.9</v>
      </c>
      <c r="K10">
        <f t="shared" ref="K10:M10" si="6">AVERAGE(D12:D21)</f>
        <v>14.7</v>
      </c>
      <c r="L10">
        <f t="shared" si="6"/>
        <v>19.3</v>
      </c>
      <c r="M10" s="5">
        <f t="shared" si="6"/>
        <v>15.7</v>
      </c>
      <c r="N10">
        <f t="shared" ref="N10:N12" si="7">AVERAGE(J10:M10)</f>
        <v>14.900000000000002</v>
      </c>
      <c r="P10" t="s">
        <v>27</v>
      </c>
      <c r="Q10">
        <f>Q16-Q5</f>
        <v>35649.749999999898</v>
      </c>
      <c r="R10">
        <f>R16-R5</f>
        <v>120</v>
      </c>
      <c r="S10">
        <f t="shared" si="0"/>
        <v>297.08124999999916</v>
      </c>
    </row>
    <row r="11" spans="1:22" x14ac:dyDescent="0.35">
      <c r="A11" s="15" t="s">
        <v>7</v>
      </c>
      <c r="B11" s="16" t="s">
        <v>8</v>
      </c>
      <c r="C11" s="32">
        <v>20</v>
      </c>
      <c r="D11" s="33">
        <v>23</v>
      </c>
      <c r="E11" s="33">
        <v>30</v>
      </c>
      <c r="F11" s="34">
        <v>13</v>
      </c>
      <c r="H11" t="str">
        <f>A22</f>
        <v>Old</v>
      </c>
      <c r="I11" t="str">
        <f>I9</f>
        <v>Male</v>
      </c>
      <c r="J11" s="19">
        <f>AVERAGE(C22:C31)</f>
        <v>45.4</v>
      </c>
      <c r="K11">
        <f t="shared" ref="K11:M11" si="8">AVERAGE(D22:D31)</f>
        <v>29</v>
      </c>
      <c r="L11">
        <f t="shared" si="8"/>
        <v>11.2</v>
      </c>
      <c r="M11" s="5">
        <f t="shared" si="8"/>
        <v>23.1</v>
      </c>
      <c r="N11">
        <f t="shared" si="7"/>
        <v>27.175000000000004</v>
      </c>
      <c r="P11" t="s">
        <v>28</v>
      </c>
      <c r="Q11">
        <f>DEVSQ(J13:M13)*L4/(R11+1)</f>
        <v>658.71874999999875</v>
      </c>
      <c r="R11">
        <f>J4-1</f>
        <v>3</v>
      </c>
      <c r="S11">
        <f t="shared" si="0"/>
        <v>219.57291666666626</v>
      </c>
      <c r="T11">
        <f>S11/S$15</f>
        <v>0.82640203587169825</v>
      </c>
      <c r="U11">
        <f>_xlfn.F.DIST.RT(T11,R11,R$15)</f>
        <v>0.48211336535751592</v>
      </c>
      <c r="V11">
        <f>Q11/(Q11+Q$15)</f>
        <v>2.2440477217044449E-2</v>
      </c>
    </row>
    <row r="12" spans="1:22" x14ac:dyDescent="0.35">
      <c r="A12" s="9" t="s">
        <v>7</v>
      </c>
      <c r="B12" s="10" t="s">
        <v>22</v>
      </c>
      <c r="C12" s="26">
        <v>0</v>
      </c>
      <c r="D12" s="27">
        <v>8</v>
      </c>
      <c r="E12" s="27">
        <v>30</v>
      </c>
      <c r="F12" s="28">
        <v>44</v>
      </c>
      <c r="H12" t="str">
        <f>H11</f>
        <v>Old</v>
      </c>
      <c r="I12" t="str">
        <f>I10</f>
        <v>Female</v>
      </c>
      <c r="J12" s="20">
        <f>AVERAGE(C32:C41)</f>
        <v>15.7</v>
      </c>
      <c r="K12" s="21">
        <f t="shared" ref="K12:M12" si="9">AVERAGE(D32:D41)</f>
        <v>15.6</v>
      </c>
      <c r="L12" s="21">
        <f t="shared" si="9"/>
        <v>15.5</v>
      </c>
      <c r="M12" s="6">
        <f t="shared" si="9"/>
        <v>14.9</v>
      </c>
      <c r="N12">
        <f t="shared" si="7"/>
        <v>15.424999999999999</v>
      </c>
      <c r="P12" t="s">
        <v>29</v>
      </c>
      <c r="Q12">
        <f>DEVSQ(J15:M16)*I4*K4-Q6-Q11</f>
        <v>3122.6187500000001</v>
      </c>
      <c r="R12">
        <f>R6*R11</f>
        <v>3</v>
      </c>
      <c r="S12">
        <f t="shared" si="0"/>
        <v>1040.8729166666667</v>
      </c>
      <c r="T12">
        <f t="shared" ref="T12:T14" si="10">S12/S$15</f>
        <v>3.9175118246613483</v>
      </c>
      <c r="U12">
        <f t="shared" ref="U12:U14" si="11">_xlfn.F.DIST.RT(T12,R12,R$15)</f>
        <v>1.0657659485874299E-2</v>
      </c>
      <c r="V12">
        <f t="shared" ref="V12:V14" si="12">Q12/(Q12+Q$15)</f>
        <v>9.8140180727423962E-2</v>
      </c>
    </row>
    <row r="13" spans="1:22" x14ac:dyDescent="0.35">
      <c r="A13" s="9" t="s">
        <v>7</v>
      </c>
      <c r="B13" s="10" t="s">
        <v>22</v>
      </c>
      <c r="C13" s="29">
        <v>0</v>
      </c>
      <c r="D13" s="30">
        <v>27</v>
      </c>
      <c r="E13" s="30">
        <v>17</v>
      </c>
      <c r="F13" s="31">
        <v>18</v>
      </c>
      <c r="J13">
        <f>AVERAGE(J9:J12)</f>
        <v>25.099999999999998</v>
      </c>
      <c r="K13">
        <f t="shared" ref="K13:M13" si="13">AVERAGE(K9:K12)</f>
        <v>22.65</v>
      </c>
      <c r="L13">
        <f t="shared" si="13"/>
        <v>20.375</v>
      </c>
      <c r="M13">
        <f t="shared" si="13"/>
        <v>20.050000000000004</v>
      </c>
      <c r="P13" t="s">
        <v>30</v>
      </c>
      <c r="Q13">
        <f>DEVSQ(J18:M19)*H4*K4-Q7-Q11</f>
        <v>1981.8687499999955</v>
      </c>
      <c r="R13">
        <f>R7*R11</f>
        <v>3</v>
      </c>
      <c r="S13">
        <f t="shared" si="0"/>
        <v>660.62291666666522</v>
      </c>
      <c r="T13">
        <f t="shared" si="10"/>
        <v>2.4863727802351114</v>
      </c>
      <c r="U13">
        <f t="shared" si="11"/>
        <v>6.4459991757825699E-2</v>
      </c>
      <c r="V13">
        <f t="shared" si="12"/>
        <v>6.4603977995868755E-2</v>
      </c>
    </row>
    <row r="14" spans="1:22" x14ac:dyDescent="0.35">
      <c r="A14" s="9" t="s">
        <v>7</v>
      </c>
      <c r="B14" s="10" t="s">
        <v>22</v>
      </c>
      <c r="C14" s="29">
        <v>0</v>
      </c>
      <c r="D14" s="30">
        <v>11</v>
      </c>
      <c r="E14" s="30">
        <v>0</v>
      </c>
      <c r="F14" s="31">
        <v>3</v>
      </c>
      <c r="P14" t="s">
        <v>31</v>
      </c>
      <c r="Q14">
        <f>DEVSQ(J9:M12)*K4-Q6-Q7-Q8-Q11-Q12-Q13</f>
        <v>1191.2187500000045</v>
      </c>
      <c r="R14">
        <f>R8*R11</f>
        <v>3</v>
      </c>
      <c r="S14">
        <f t="shared" si="0"/>
        <v>397.07291666666816</v>
      </c>
      <c r="T14">
        <f t="shared" si="10"/>
        <v>1.4944551072343775</v>
      </c>
      <c r="U14">
        <f t="shared" si="11"/>
        <v>0.22018347230419641</v>
      </c>
      <c r="V14">
        <f t="shared" si="12"/>
        <v>3.9858029752938846E-2</v>
      </c>
    </row>
    <row r="15" spans="1:22" x14ac:dyDescent="0.35">
      <c r="A15" s="9" t="s">
        <v>7</v>
      </c>
      <c r="B15" s="10" t="s">
        <v>22</v>
      </c>
      <c r="C15" s="29">
        <v>25</v>
      </c>
      <c r="D15" s="30">
        <v>20</v>
      </c>
      <c r="E15" s="30">
        <v>35</v>
      </c>
      <c r="F15" s="31">
        <v>10</v>
      </c>
      <c r="H15" t="str">
        <f>H9</f>
        <v>Young</v>
      </c>
      <c r="J15" s="17">
        <f>AVERAGE(J9:J10)</f>
        <v>19.649999999999999</v>
      </c>
      <c r="K15" s="18">
        <f t="shared" ref="K15:M15" si="14">AVERAGE(K9:K10)</f>
        <v>23</v>
      </c>
      <c r="L15" s="18">
        <f t="shared" si="14"/>
        <v>27.4</v>
      </c>
      <c r="M15" s="4">
        <f t="shared" si="14"/>
        <v>21.1</v>
      </c>
      <c r="N15">
        <f>AVERAGE(J15:M15)</f>
        <v>22.787500000000001</v>
      </c>
      <c r="P15" t="s">
        <v>26</v>
      </c>
      <c r="Q15">
        <f>Q10-Q11-Q12-Q13-Q14</f>
        <v>28695.324999999899</v>
      </c>
      <c r="R15">
        <f>R10-R11-R12-R13-R14</f>
        <v>108</v>
      </c>
      <c r="S15">
        <f t="shared" si="0"/>
        <v>265.69745370370276</v>
      </c>
    </row>
    <row r="16" spans="1:22" x14ac:dyDescent="0.35">
      <c r="A16" s="9" t="s">
        <v>7</v>
      </c>
      <c r="B16" s="10" t="s">
        <v>22</v>
      </c>
      <c r="C16" s="29">
        <v>32</v>
      </c>
      <c r="D16" s="30">
        <v>30</v>
      </c>
      <c r="E16" s="30">
        <v>34</v>
      </c>
      <c r="F16" s="31">
        <v>64</v>
      </c>
      <c r="H16" t="str">
        <f>H11</f>
        <v>Old</v>
      </c>
      <c r="J16" s="20">
        <f>AVERAGE(J11:J12)</f>
        <v>30.549999999999997</v>
      </c>
      <c r="K16" s="21">
        <f t="shared" ref="K16:M16" si="15">AVERAGE(K11:K12)</f>
        <v>22.3</v>
      </c>
      <c r="L16" s="21">
        <f t="shared" si="15"/>
        <v>13.35</v>
      </c>
      <c r="M16" s="6">
        <f t="shared" si="15"/>
        <v>19</v>
      </c>
      <c r="N16">
        <f>AVERAGE(J16:M16)</f>
        <v>21.299999999999997</v>
      </c>
      <c r="P16" s="22" t="s">
        <v>33</v>
      </c>
      <c r="Q16" s="22">
        <f>DEVSQ(C2:F41)</f>
        <v>83390.693749999904</v>
      </c>
      <c r="R16" s="22">
        <f>L4-1</f>
        <v>159</v>
      </c>
      <c r="S16" s="22">
        <f t="shared" si="0"/>
        <v>524.46977201257801</v>
      </c>
      <c r="T16" s="22"/>
      <c r="U16" s="22"/>
      <c r="V16" s="22"/>
    </row>
    <row r="17" spans="1:14" x14ac:dyDescent="0.35">
      <c r="A17" s="9" t="s">
        <v>7</v>
      </c>
      <c r="B17" s="10" t="s">
        <v>22</v>
      </c>
      <c r="C17" s="29">
        <v>0</v>
      </c>
      <c r="D17" s="30">
        <v>0</v>
      </c>
      <c r="E17" s="30">
        <v>1</v>
      </c>
      <c r="F17" s="31">
        <v>0</v>
      </c>
    </row>
    <row r="18" spans="1:14" x14ac:dyDescent="0.35">
      <c r="A18" s="9" t="s">
        <v>7</v>
      </c>
      <c r="B18" s="10" t="s">
        <v>22</v>
      </c>
      <c r="C18" s="29">
        <v>5</v>
      </c>
      <c r="D18" s="30">
        <v>40</v>
      </c>
      <c r="E18" s="30">
        <v>28</v>
      </c>
      <c r="F18" s="31">
        <v>3</v>
      </c>
      <c r="I18" t="str">
        <f>I9</f>
        <v>Male</v>
      </c>
      <c r="J18" s="17">
        <f>AVERAGEIF($I$9:$I$12,$I18,J$9:J$12)</f>
        <v>37.4</v>
      </c>
      <c r="K18" s="18">
        <f t="shared" ref="K18:M19" si="16">AVERAGEIF($I$9:$I$12,$I18,K$9:K$12)</f>
        <v>30.15</v>
      </c>
      <c r="L18" s="18">
        <f t="shared" si="16"/>
        <v>23.35</v>
      </c>
      <c r="M18" s="4">
        <f t="shared" si="16"/>
        <v>24.8</v>
      </c>
      <c r="N18">
        <f>AVERAGE(J18:M18)</f>
        <v>28.925000000000001</v>
      </c>
    </row>
    <row r="19" spans="1:14" x14ac:dyDescent="0.35">
      <c r="A19" s="9" t="s">
        <v>7</v>
      </c>
      <c r="B19" s="10" t="s">
        <v>22</v>
      </c>
      <c r="C19" s="29">
        <v>37</v>
      </c>
      <c r="D19" s="30">
        <v>11</v>
      </c>
      <c r="E19" s="30">
        <v>15</v>
      </c>
      <c r="F19" s="31">
        <v>15</v>
      </c>
      <c r="I19" t="str">
        <f>I10</f>
        <v>Female</v>
      </c>
      <c r="J19" s="20">
        <f>AVERAGEIF($I$9:$I$12,$I19,J$9:J$12)</f>
        <v>12.8</v>
      </c>
      <c r="K19" s="21">
        <f t="shared" si="16"/>
        <v>15.149999999999999</v>
      </c>
      <c r="L19" s="21">
        <f t="shared" si="16"/>
        <v>17.399999999999999</v>
      </c>
      <c r="M19" s="6">
        <f t="shared" si="16"/>
        <v>15.3</v>
      </c>
      <c r="N19">
        <f>AVERAGE(J19:M19)</f>
        <v>15.162499999999998</v>
      </c>
    </row>
    <row r="20" spans="1:14" x14ac:dyDescent="0.35">
      <c r="A20" s="9" t="s">
        <v>7</v>
      </c>
      <c r="B20" s="10" t="s">
        <v>22</v>
      </c>
      <c r="C20" s="29">
        <v>0</v>
      </c>
      <c r="D20" s="30">
        <v>0</v>
      </c>
      <c r="E20" s="30">
        <v>18</v>
      </c>
      <c r="F20" s="31">
        <v>0</v>
      </c>
    </row>
    <row r="21" spans="1:14" x14ac:dyDescent="0.35">
      <c r="A21" s="9" t="s">
        <v>7</v>
      </c>
      <c r="B21" s="10" t="s">
        <v>22</v>
      </c>
      <c r="C21" s="32">
        <v>0</v>
      </c>
      <c r="D21" s="33">
        <v>0</v>
      </c>
      <c r="E21" s="33">
        <v>15</v>
      </c>
      <c r="F21" s="34">
        <v>0</v>
      </c>
    </row>
    <row r="22" spans="1:14" x14ac:dyDescent="0.35">
      <c r="A22" s="7" t="s">
        <v>32</v>
      </c>
      <c r="B22" s="8" t="s">
        <v>8</v>
      </c>
      <c r="C22" s="26">
        <v>0</v>
      </c>
      <c r="D22" s="27">
        <v>0</v>
      </c>
      <c r="E22" s="27">
        <v>0</v>
      </c>
      <c r="F22" s="28">
        <v>6</v>
      </c>
    </row>
    <row r="23" spans="1:14" x14ac:dyDescent="0.35">
      <c r="A23" s="9" t="s">
        <v>32</v>
      </c>
      <c r="B23" s="10" t="s">
        <v>8</v>
      </c>
      <c r="C23" s="29">
        <v>98</v>
      </c>
      <c r="D23" s="30">
        <v>82</v>
      </c>
      <c r="E23" s="30">
        <v>22</v>
      </c>
      <c r="F23" s="31">
        <v>45</v>
      </c>
    </row>
    <row r="24" spans="1:14" x14ac:dyDescent="0.35">
      <c r="A24" s="9" t="s">
        <v>32</v>
      </c>
      <c r="B24" s="10" t="s">
        <v>8</v>
      </c>
      <c r="C24" s="29">
        <v>6</v>
      </c>
      <c r="D24" s="30">
        <v>0</v>
      </c>
      <c r="E24" s="30">
        <v>1</v>
      </c>
      <c r="F24" s="31">
        <v>5</v>
      </c>
    </row>
    <row r="25" spans="1:14" x14ac:dyDescent="0.35">
      <c r="A25" s="9" t="s">
        <v>32</v>
      </c>
      <c r="B25" s="10" t="s">
        <v>8</v>
      </c>
      <c r="C25" s="29">
        <v>5</v>
      </c>
      <c r="D25" s="30">
        <v>30</v>
      </c>
      <c r="E25" s="30">
        <v>0</v>
      </c>
      <c r="F25" s="31">
        <v>0</v>
      </c>
    </row>
    <row r="26" spans="1:14" x14ac:dyDescent="0.35">
      <c r="A26" s="9" t="s">
        <v>32</v>
      </c>
      <c r="B26" s="10" t="s">
        <v>8</v>
      </c>
      <c r="C26" s="29">
        <v>57</v>
      </c>
      <c r="D26" s="30">
        <v>10</v>
      </c>
      <c r="E26" s="30">
        <v>0</v>
      </c>
      <c r="F26" s="31">
        <v>0</v>
      </c>
    </row>
    <row r="27" spans="1:14" x14ac:dyDescent="0.35">
      <c r="A27" s="9" t="s">
        <v>32</v>
      </c>
      <c r="B27" s="10" t="s">
        <v>8</v>
      </c>
      <c r="C27" s="29">
        <v>8</v>
      </c>
      <c r="D27" s="30">
        <v>0</v>
      </c>
      <c r="E27" s="30">
        <v>13</v>
      </c>
      <c r="F27" s="31">
        <v>61</v>
      </c>
    </row>
    <row r="28" spans="1:14" x14ac:dyDescent="0.35">
      <c r="A28" s="9" t="s">
        <v>32</v>
      </c>
      <c r="B28" s="10" t="s">
        <v>8</v>
      </c>
      <c r="C28" s="29">
        <v>83</v>
      </c>
      <c r="D28" s="30">
        <v>83</v>
      </c>
      <c r="E28" s="30">
        <v>10</v>
      </c>
      <c r="F28" s="31">
        <v>37</v>
      </c>
    </row>
    <row r="29" spans="1:14" x14ac:dyDescent="0.35">
      <c r="A29" s="9" t="s">
        <v>32</v>
      </c>
      <c r="B29" s="10" t="s">
        <v>8</v>
      </c>
      <c r="C29" s="29">
        <v>40</v>
      </c>
      <c r="D29" s="30">
        <v>3</v>
      </c>
      <c r="E29" s="30">
        <v>0</v>
      </c>
      <c r="F29" s="31">
        <v>25</v>
      </c>
    </row>
    <row r="30" spans="1:14" x14ac:dyDescent="0.35">
      <c r="A30" s="9" t="s">
        <v>32</v>
      </c>
      <c r="B30" s="10" t="s">
        <v>8</v>
      </c>
      <c r="C30" s="29">
        <v>93</v>
      </c>
      <c r="D30" s="30">
        <v>81</v>
      </c>
      <c r="E30" s="30">
        <v>17</v>
      </c>
      <c r="F30" s="31">
        <v>25</v>
      </c>
    </row>
    <row r="31" spans="1:14" x14ac:dyDescent="0.35">
      <c r="A31" s="15" t="s">
        <v>32</v>
      </c>
      <c r="B31" s="16" t="s">
        <v>8</v>
      </c>
      <c r="C31" s="32">
        <v>64</v>
      </c>
      <c r="D31" s="33">
        <v>1</v>
      </c>
      <c r="E31" s="33">
        <v>49</v>
      </c>
      <c r="F31" s="34">
        <v>27</v>
      </c>
    </row>
    <row r="32" spans="1:14" x14ac:dyDescent="0.35">
      <c r="A32" s="7" t="s">
        <v>32</v>
      </c>
      <c r="B32" s="8" t="s">
        <v>22</v>
      </c>
      <c r="C32" s="26">
        <v>23</v>
      </c>
      <c r="D32" s="27">
        <v>37</v>
      </c>
      <c r="E32" s="27">
        <v>44</v>
      </c>
      <c r="F32" s="28">
        <v>23</v>
      </c>
    </row>
    <row r="33" spans="1:6" x14ac:dyDescent="0.35">
      <c r="A33" s="9" t="s">
        <v>32</v>
      </c>
      <c r="B33" s="10" t="s">
        <v>22</v>
      </c>
      <c r="C33" s="29">
        <v>0</v>
      </c>
      <c r="D33" s="30">
        <v>1</v>
      </c>
      <c r="E33" s="30">
        <v>3</v>
      </c>
      <c r="F33" s="31">
        <v>6</v>
      </c>
    </row>
    <row r="34" spans="1:6" x14ac:dyDescent="0.35">
      <c r="A34" s="9" t="s">
        <v>32</v>
      </c>
      <c r="B34" s="10" t="s">
        <v>22</v>
      </c>
      <c r="C34" s="29">
        <v>10</v>
      </c>
      <c r="D34" s="30">
        <v>0</v>
      </c>
      <c r="E34" s="30">
        <v>34</v>
      </c>
      <c r="F34" s="31">
        <v>0</v>
      </c>
    </row>
    <row r="35" spans="1:6" x14ac:dyDescent="0.35">
      <c r="A35" s="9" t="s">
        <v>32</v>
      </c>
      <c r="B35" s="10" t="s">
        <v>22</v>
      </c>
      <c r="C35" s="29">
        <v>0</v>
      </c>
      <c r="D35" s="30">
        <v>8</v>
      </c>
      <c r="E35" s="30">
        <v>3</v>
      </c>
      <c r="F35" s="31">
        <v>8</v>
      </c>
    </row>
    <row r="36" spans="1:6" x14ac:dyDescent="0.35">
      <c r="A36" s="9" t="s">
        <v>32</v>
      </c>
      <c r="B36" s="10" t="s">
        <v>22</v>
      </c>
      <c r="C36" s="29">
        <v>34</v>
      </c>
      <c r="D36" s="30">
        <v>45</v>
      </c>
      <c r="E36" s="30">
        <v>0</v>
      </c>
      <c r="F36" s="31">
        <v>22</v>
      </c>
    </row>
    <row r="37" spans="1:6" x14ac:dyDescent="0.35">
      <c r="A37" s="9" t="s">
        <v>32</v>
      </c>
      <c r="B37" s="10" t="s">
        <v>22</v>
      </c>
      <c r="C37" s="29">
        <v>59</v>
      </c>
      <c r="D37" s="30">
        <v>30</v>
      </c>
      <c r="E37" s="30">
        <v>18</v>
      </c>
      <c r="F37" s="31">
        <v>68</v>
      </c>
    </row>
    <row r="38" spans="1:6" x14ac:dyDescent="0.35">
      <c r="A38" s="9" t="s">
        <v>32</v>
      </c>
      <c r="B38" s="10" t="s">
        <v>22</v>
      </c>
      <c r="C38" s="29">
        <v>30</v>
      </c>
      <c r="D38" s="30">
        <v>35</v>
      </c>
      <c r="E38" s="30">
        <v>47</v>
      </c>
      <c r="F38" s="31">
        <v>1</v>
      </c>
    </row>
    <row r="39" spans="1:6" x14ac:dyDescent="0.35">
      <c r="A39" s="9" t="s">
        <v>32</v>
      </c>
      <c r="B39" s="10" t="s">
        <v>22</v>
      </c>
      <c r="C39" s="29">
        <v>0</v>
      </c>
      <c r="D39" s="30">
        <v>0</v>
      </c>
      <c r="E39" s="30">
        <v>5</v>
      </c>
      <c r="F39" s="31">
        <v>18</v>
      </c>
    </row>
    <row r="40" spans="1:6" x14ac:dyDescent="0.35">
      <c r="A40" s="9" t="s">
        <v>32</v>
      </c>
      <c r="B40" s="10" t="s">
        <v>22</v>
      </c>
      <c r="C40" s="29">
        <v>1</v>
      </c>
      <c r="D40" s="30">
        <v>0</v>
      </c>
      <c r="E40" s="30">
        <v>1</v>
      </c>
      <c r="F40" s="31">
        <v>3</v>
      </c>
    </row>
    <row r="41" spans="1:6" x14ac:dyDescent="0.35">
      <c r="A41" s="15" t="s">
        <v>32</v>
      </c>
      <c r="B41" s="16" t="s">
        <v>22</v>
      </c>
      <c r="C41" s="32">
        <v>0</v>
      </c>
      <c r="D41" s="33">
        <v>0</v>
      </c>
      <c r="E41" s="33">
        <v>0</v>
      </c>
      <c r="F41" s="34">
        <v>0</v>
      </c>
    </row>
  </sheetData>
  <pageMargins left="0.7" right="0.7" top="0.75" bottom="0.75" header="0.3" footer="0.3"/>
  <ignoredErrors>
    <ignoredError sqref="J9:M12" formulaRange="1"/>
    <ignoredError sqref="H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2B+1W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2024-07-10T17:46:38Z</dcterms:created>
  <dcterms:modified xsi:type="dcterms:W3CDTF">2024-07-10T18:17:15Z</dcterms:modified>
</cp:coreProperties>
</file>