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9" documentId="8_{5AEE3C48-6357-45EE-A87F-EC62060DD0F9}" xr6:coauthVersionLast="47" xr6:coauthVersionMax="47" xr10:uidLastSave="{2162D2E9-F959-4D13-A63A-3617DD9DB4F6}"/>
  <bookViews>
    <workbookView xWindow="-110" yWindow="-110" windowWidth="19420" windowHeight="10300" xr2:uid="{2650DAC6-7AF1-45EC-88D2-32F9FE79A8D9}"/>
  </bookViews>
  <sheets>
    <sheet name="Title" sheetId="6" r:id="rId1"/>
    <sheet name="Sphericity 1" sheetId="1" r:id="rId2"/>
    <sheet name="Sphericity 2" sheetId="2" r:id="rId3"/>
    <sheet name="GG Calc" sheetId="3" r:id="rId4"/>
    <sheet name="Mauchly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3" i="3" s="1"/>
  <c r="K20" i="2"/>
  <c r="J20" i="2"/>
  <c r="I20" i="2"/>
  <c r="H20" i="2"/>
  <c r="L20" i="2" s="1"/>
  <c r="K19" i="2"/>
  <c r="J19" i="2"/>
  <c r="I19" i="2"/>
  <c r="H19" i="2"/>
  <c r="K18" i="2"/>
  <c r="J18" i="2"/>
  <c r="I18" i="2"/>
  <c r="H18" i="2"/>
  <c r="L18" i="2" s="1"/>
  <c r="L17" i="2"/>
  <c r="K17" i="2"/>
  <c r="J17" i="2"/>
  <c r="I17" i="2"/>
  <c r="H17" i="2"/>
  <c r="K16" i="2"/>
  <c r="J16" i="2"/>
  <c r="I16" i="2"/>
  <c r="H16" i="2"/>
  <c r="L16" i="2" s="1"/>
  <c r="K15" i="2"/>
  <c r="J15" i="2"/>
  <c r="I15" i="2"/>
  <c r="H15" i="2"/>
  <c r="L15" i="2" s="1"/>
  <c r="K14" i="2"/>
  <c r="J14" i="2"/>
  <c r="I14" i="2"/>
  <c r="H14" i="2"/>
  <c r="K13" i="2"/>
  <c r="J13" i="2"/>
  <c r="I13" i="2"/>
  <c r="H13" i="2"/>
  <c r="L13" i="2" s="1"/>
  <c r="K12" i="2"/>
  <c r="J12" i="2"/>
  <c r="I12" i="2"/>
  <c r="H12" i="2"/>
  <c r="K11" i="2"/>
  <c r="L11" i="2" s="1"/>
  <c r="J11" i="2"/>
  <c r="I11" i="2"/>
  <c r="H11" i="2"/>
  <c r="K10" i="2"/>
  <c r="J10" i="2"/>
  <c r="I10" i="2"/>
  <c r="H10" i="2"/>
  <c r="K9" i="2"/>
  <c r="L9" i="2" s="1"/>
  <c r="J9" i="2"/>
  <c r="I9" i="2"/>
  <c r="H9" i="2"/>
  <c r="K8" i="2"/>
  <c r="K22" i="2" s="1"/>
  <c r="J8" i="2"/>
  <c r="I8" i="2"/>
  <c r="H8" i="2"/>
  <c r="L7" i="2"/>
  <c r="K7" i="2"/>
  <c r="J7" i="2"/>
  <c r="I7" i="2"/>
  <c r="H7" i="2"/>
  <c r="P5" i="2" s="1"/>
  <c r="G7" i="2"/>
  <c r="P6" i="2"/>
  <c r="K6" i="2"/>
  <c r="J6" i="2"/>
  <c r="J22" i="2" s="1"/>
  <c r="I6" i="2"/>
  <c r="H6" i="2"/>
  <c r="G6" i="2"/>
  <c r="K5" i="2"/>
  <c r="J5" i="2"/>
  <c r="I5" i="2"/>
  <c r="H5" i="2"/>
  <c r="G5" i="2"/>
  <c r="A5" i="2"/>
  <c r="A6" i="2" s="1"/>
  <c r="AG20" i="1"/>
  <c r="AA20" i="1"/>
  <c r="AF20" i="1" s="1"/>
  <c r="Z20" i="1"/>
  <c r="Y20" i="1"/>
  <c r="X20" i="1"/>
  <c r="K20" i="1"/>
  <c r="J20" i="1"/>
  <c r="I20" i="1"/>
  <c r="H20" i="1"/>
  <c r="L20" i="1" s="1"/>
  <c r="AG19" i="1"/>
  <c r="AA19" i="1"/>
  <c r="AH19" i="1" s="1"/>
  <c r="Z19" i="1"/>
  <c r="Y19" i="1"/>
  <c r="X19" i="1"/>
  <c r="K19" i="1"/>
  <c r="J19" i="1"/>
  <c r="L19" i="1" s="1"/>
  <c r="I19" i="1"/>
  <c r="H19" i="1"/>
  <c r="AI18" i="1"/>
  <c r="AH18" i="1"/>
  <c r="AG18" i="1"/>
  <c r="AF18" i="1"/>
  <c r="AE18" i="1"/>
  <c r="AD18" i="1"/>
  <c r="AA18" i="1"/>
  <c r="Z18" i="1"/>
  <c r="Y18" i="1"/>
  <c r="X18" i="1"/>
  <c r="K18" i="1"/>
  <c r="L18" i="1" s="1"/>
  <c r="J18" i="1"/>
  <c r="I18" i="1"/>
  <c r="H18" i="1"/>
  <c r="AD17" i="1"/>
  <c r="AA17" i="1"/>
  <c r="AF17" i="1" s="1"/>
  <c r="Z17" i="1"/>
  <c r="AI17" i="1" s="1"/>
  <c r="Y17" i="1"/>
  <c r="X17" i="1"/>
  <c r="K17" i="1"/>
  <c r="J17" i="1"/>
  <c r="L17" i="1" s="1"/>
  <c r="I17" i="1"/>
  <c r="H17" i="1"/>
  <c r="AI16" i="1"/>
  <c r="AH16" i="1"/>
  <c r="AG16" i="1"/>
  <c r="AF16" i="1"/>
  <c r="AE16" i="1"/>
  <c r="AD16" i="1"/>
  <c r="AA16" i="1"/>
  <c r="Z16" i="1"/>
  <c r="Y16" i="1"/>
  <c r="X16" i="1"/>
  <c r="W16" i="1"/>
  <c r="W17" i="1" s="1"/>
  <c r="W18" i="1" s="1"/>
  <c r="W19" i="1" s="1"/>
  <c r="W20" i="1" s="1"/>
  <c r="L16" i="1"/>
  <c r="K16" i="1"/>
  <c r="J16" i="1"/>
  <c r="I16" i="1"/>
  <c r="H16" i="1"/>
  <c r="AA15" i="1"/>
  <c r="Z15" i="1"/>
  <c r="AI15" i="1" s="1"/>
  <c r="Y15" i="1"/>
  <c r="X15" i="1"/>
  <c r="AD15" i="1" s="1"/>
  <c r="K15" i="1"/>
  <c r="J15" i="1"/>
  <c r="I15" i="1"/>
  <c r="H15" i="1"/>
  <c r="L15" i="1" s="1"/>
  <c r="AA14" i="1"/>
  <c r="AH14" i="1" s="1"/>
  <c r="Z14" i="1"/>
  <c r="AG14" i="1" s="1"/>
  <c r="Y14" i="1"/>
  <c r="X14" i="1"/>
  <c r="W14" i="1"/>
  <c r="W15" i="1" s="1"/>
  <c r="K14" i="1"/>
  <c r="L14" i="1" s="1"/>
  <c r="J14" i="1"/>
  <c r="I14" i="1"/>
  <c r="H14" i="1"/>
  <c r="AH13" i="1"/>
  <c r="AF13" i="1"/>
  <c r="AE13" i="1"/>
  <c r="AD13" i="1"/>
  <c r="AA13" i="1"/>
  <c r="AI13" i="1" s="1"/>
  <c r="Z13" i="1"/>
  <c r="Y13" i="1"/>
  <c r="AG13" i="1" s="1"/>
  <c r="X13" i="1"/>
  <c r="K13" i="1"/>
  <c r="J13" i="1"/>
  <c r="I13" i="1"/>
  <c r="H13" i="1"/>
  <c r="L13" i="1" s="1"/>
  <c r="AG12" i="1"/>
  <c r="AD12" i="1"/>
  <c r="AA12" i="1"/>
  <c r="AH12" i="1" s="1"/>
  <c r="Z12" i="1"/>
  <c r="AI12" i="1" s="1"/>
  <c r="Y12" i="1"/>
  <c r="X12" i="1"/>
  <c r="AF12" i="1" s="1"/>
  <c r="L12" i="1"/>
  <c r="K12" i="1"/>
  <c r="J12" i="1"/>
  <c r="I12" i="1"/>
  <c r="H12" i="1"/>
  <c r="AI11" i="1"/>
  <c r="AG11" i="1"/>
  <c r="AF11" i="1"/>
  <c r="AE11" i="1"/>
  <c r="AD11" i="1"/>
  <c r="AA11" i="1"/>
  <c r="Z11" i="1"/>
  <c r="Y11" i="1"/>
  <c r="AH11" i="1" s="1"/>
  <c r="X11" i="1"/>
  <c r="W11" i="1"/>
  <c r="W12" i="1" s="1"/>
  <c r="W13" i="1" s="1"/>
  <c r="K11" i="1"/>
  <c r="J11" i="1"/>
  <c r="I11" i="1"/>
  <c r="H11" i="1"/>
  <c r="L11" i="1" s="1"/>
  <c r="AF10" i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A10" i="1"/>
  <c r="Z10" i="1"/>
  <c r="AI10" i="1" s="1"/>
  <c r="Y10" i="1"/>
  <c r="X10" i="1"/>
  <c r="AD10" i="1" s="1"/>
  <c r="K10" i="1"/>
  <c r="J10" i="1"/>
  <c r="I10" i="1"/>
  <c r="I22" i="1" s="1"/>
  <c r="H10" i="1"/>
  <c r="L10" i="1" s="1"/>
  <c r="AC9" i="1"/>
  <c r="AA9" i="1"/>
  <c r="Z9" i="1"/>
  <c r="AI9" i="1" s="1"/>
  <c r="Y9" i="1"/>
  <c r="X9" i="1"/>
  <c r="AD9" i="1" s="1"/>
  <c r="K9" i="1"/>
  <c r="J9" i="1"/>
  <c r="I9" i="1"/>
  <c r="H9" i="1"/>
  <c r="L9" i="1" s="1"/>
  <c r="AC8" i="1"/>
  <c r="AA8" i="1"/>
  <c r="AA21" i="1" s="1"/>
  <c r="Z8" i="1"/>
  <c r="AG8" i="1" s="1"/>
  <c r="Y8" i="1"/>
  <c r="X8" i="1"/>
  <c r="W8" i="1"/>
  <c r="W9" i="1" s="1"/>
  <c r="W10" i="1" s="1"/>
  <c r="L8" i="1"/>
  <c r="K8" i="1"/>
  <c r="J8" i="1"/>
  <c r="I8" i="1"/>
  <c r="H8" i="1"/>
  <c r="AI7" i="1"/>
  <c r="AC7" i="1"/>
  <c r="AA7" i="1"/>
  <c r="Z7" i="1"/>
  <c r="Y7" i="1"/>
  <c r="X7" i="1"/>
  <c r="AD7" i="1" s="1"/>
  <c r="W7" i="1"/>
  <c r="K7" i="1"/>
  <c r="L7" i="1" s="1"/>
  <c r="J7" i="1"/>
  <c r="I7" i="1"/>
  <c r="H7" i="1"/>
  <c r="AH6" i="1"/>
  <c r="AG6" i="1"/>
  <c r="AF6" i="1"/>
  <c r="AE6" i="1"/>
  <c r="AD6" i="1"/>
  <c r="AA6" i="1"/>
  <c r="Z6" i="1"/>
  <c r="Y6" i="1"/>
  <c r="X6" i="1"/>
  <c r="L6" i="1"/>
  <c r="K6" i="1"/>
  <c r="O8" i="1" s="1"/>
  <c r="J6" i="1"/>
  <c r="I6" i="1"/>
  <c r="H6" i="1"/>
  <c r="G6" i="1"/>
  <c r="K5" i="1"/>
  <c r="J5" i="1"/>
  <c r="I5" i="1"/>
  <c r="H5" i="1"/>
  <c r="G5" i="1"/>
  <c r="A5" i="1"/>
  <c r="G7" i="1" s="1"/>
  <c r="D11" i="4"/>
  <c r="A5" i="3" a="1"/>
  <c r="H30" i="1" a="1"/>
  <c r="L3" i="3" a="1"/>
  <c r="W25" i="1" a="1"/>
  <c r="H25" i="2"/>
  <c r="D22" i="4"/>
  <c r="H24" i="2"/>
  <c r="AL5" i="1" a="1"/>
  <c r="AM7" i="1" l="1"/>
  <c r="AL7" i="1"/>
  <c r="AN6" i="1"/>
  <c r="AO6" i="1"/>
  <c r="AO8" i="1"/>
  <c r="AO5" i="1"/>
  <c r="AM6" i="1"/>
  <c r="AL6" i="1"/>
  <c r="AN7" i="1"/>
  <c r="AN5" i="1"/>
  <c r="AM5" i="1"/>
  <c r="AO7" i="1"/>
  <c r="AM8" i="1"/>
  <c r="AL5" i="1"/>
  <c r="AL8" i="1"/>
  <c r="AN8" i="1"/>
  <c r="Z27" i="1"/>
  <c r="W27" i="1"/>
  <c r="Y27" i="1"/>
  <c r="X27" i="1"/>
  <c r="X26" i="1"/>
  <c r="W26" i="1"/>
  <c r="X25" i="1"/>
  <c r="W25" i="1"/>
  <c r="Y25" i="1"/>
  <c r="Y26" i="1"/>
  <c r="Z28" i="1"/>
  <c r="Y28" i="1"/>
  <c r="Z26" i="1"/>
  <c r="X28" i="1"/>
  <c r="W28" i="1"/>
  <c r="Z25" i="1"/>
  <c r="L3" i="3"/>
  <c r="K32" i="1"/>
  <c r="I32" i="1"/>
  <c r="H32" i="1"/>
  <c r="K31" i="1"/>
  <c r="J31" i="1"/>
  <c r="K33" i="1"/>
  <c r="K30" i="1"/>
  <c r="J33" i="1"/>
  <c r="J30" i="1"/>
  <c r="H30" i="1"/>
  <c r="I31" i="1"/>
  <c r="I30" i="1"/>
  <c r="J32" i="1"/>
  <c r="I33" i="1"/>
  <c r="H33" i="1"/>
  <c r="H31" i="1"/>
  <c r="D7" i="3"/>
  <c r="C7" i="3"/>
  <c r="B7" i="3"/>
  <c r="A7" i="3"/>
  <c r="D6" i="3"/>
  <c r="C6" i="3"/>
  <c r="D8" i="3"/>
  <c r="D5" i="3"/>
  <c r="C8" i="3"/>
  <c r="C5" i="3"/>
  <c r="A6" i="3"/>
  <c r="B5" i="3"/>
  <c r="A5" i="3"/>
  <c r="B8" i="3"/>
  <c r="B6" i="3"/>
  <c r="A8" i="3"/>
  <c r="P8" i="2"/>
  <c r="P7" i="2" s="1"/>
  <c r="L22" i="1"/>
  <c r="AF22" i="1"/>
  <c r="AF21" i="1"/>
  <c r="H22" i="1"/>
  <c r="A7" i="2"/>
  <c r="G8" i="2"/>
  <c r="AH15" i="1"/>
  <c r="AG15" i="1"/>
  <c r="AG22" i="1" s="1"/>
  <c r="J22" i="1"/>
  <c r="AH8" i="1"/>
  <c r="AH21" i="1" s="1"/>
  <c r="AI8" i="1"/>
  <c r="AE9" i="1"/>
  <c r="AH10" i="1"/>
  <c r="AG10" i="1"/>
  <c r="AI14" i="1"/>
  <c r="AE15" i="1"/>
  <c r="K21" i="1"/>
  <c r="K21" i="2"/>
  <c r="Y21" i="1"/>
  <c r="AI19" i="1"/>
  <c r="J21" i="1"/>
  <c r="A6" i="1"/>
  <c r="AF9" i="1"/>
  <c r="AF15" i="1"/>
  <c r="AE17" i="1"/>
  <c r="L21" i="1"/>
  <c r="D13" i="3"/>
  <c r="AE7" i="1"/>
  <c r="AE22" i="1" s="1"/>
  <c r="AG17" i="1"/>
  <c r="X21" i="1"/>
  <c r="L12" i="2"/>
  <c r="H21" i="1"/>
  <c r="Z21" i="1"/>
  <c r="AF7" i="1"/>
  <c r="AH17" i="1"/>
  <c r="L14" i="2"/>
  <c r="I21" i="1"/>
  <c r="AG7" i="1"/>
  <c r="AG21" i="1" s="1"/>
  <c r="AE10" i="1"/>
  <c r="AE12" i="1"/>
  <c r="AF19" i="1"/>
  <c r="AE19" i="1"/>
  <c r="AD19" i="1"/>
  <c r="H21" i="2"/>
  <c r="O6" i="2" s="1"/>
  <c r="L19" i="2"/>
  <c r="AH9" i="1"/>
  <c r="AG9" i="1"/>
  <c r="P12" i="2"/>
  <c r="P17" i="2"/>
  <c r="AH7" i="1"/>
  <c r="AF8" i="1"/>
  <c r="AE8" i="1"/>
  <c r="AD8" i="1"/>
  <c r="AD22" i="1" s="1"/>
  <c r="AH20" i="1"/>
  <c r="AD20" i="1"/>
  <c r="L8" i="2"/>
  <c r="O5" i="2" s="1"/>
  <c r="AH22" i="1"/>
  <c r="I21" i="2"/>
  <c r="I22" i="2"/>
  <c r="L10" i="2"/>
  <c r="K22" i="1"/>
  <c r="AF14" i="1"/>
  <c r="AE14" i="1"/>
  <c r="AD14" i="1"/>
  <c r="AI20" i="1"/>
  <c r="AE20" i="1"/>
  <c r="J21" i="2"/>
  <c r="H22" i="2"/>
  <c r="AI6" i="1"/>
  <c r="H26" i="1"/>
  <c r="L6" i="2"/>
  <c r="O8" i="2"/>
  <c r="H25" i="1"/>
  <c r="AA27" i="1" l="1"/>
  <c r="AM9" i="1"/>
  <c r="AA26" i="1"/>
  <c r="AN9" i="1"/>
  <c r="T5" i="2"/>
  <c r="Q5" i="2"/>
  <c r="O12" i="2"/>
  <c r="Q6" i="2"/>
  <c r="O17" i="2"/>
  <c r="E6" i="3"/>
  <c r="J37" i="1"/>
  <c r="P5" i="1"/>
  <c r="O23" i="1" s="1"/>
  <c r="B6" i="4"/>
  <c r="B18" i="4" s="1"/>
  <c r="P8" i="1"/>
  <c r="P7" i="1" s="1"/>
  <c r="AR14" i="1"/>
  <c r="O6" i="1"/>
  <c r="G22" i="3"/>
  <c r="G14" i="3"/>
  <c r="D9" i="3"/>
  <c r="I34" i="1"/>
  <c r="AE21" i="1"/>
  <c r="P13" i="2"/>
  <c r="P18" i="2"/>
  <c r="AR7" i="1"/>
  <c r="J41" i="1"/>
  <c r="J40" i="1"/>
  <c r="H34" i="1"/>
  <c r="AA28" i="1"/>
  <c r="AI23" i="1"/>
  <c r="AA25" i="1"/>
  <c r="AF23" i="1"/>
  <c r="AE23" i="1"/>
  <c r="AD23" i="1"/>
  <c r="AG23" i="1"/>
  <c r="AH23" i="1"/>
  <c r="O7" i="2"/>
  <c r="T6" i="2" s="1"/>
  <c r="AD21" i="1"/>
  <c r="AO9" i="1"/>
  <c r="L22" i="2"/>
  <c r="L21" i="2"/>
  <c r="E8" i="3"/>
  <c r="E7" i="3"/>
  <c r="J38" i="1"/>
  <c r="B5" i="4"/>
  <c r="AR5" i="1"/>
  <c r="O5" i="1"/>
  <c r="P6" i="1"/>
  <c r="A7" i="1"/>
  <c r="G8" i="1"/>
  <c r="K34" i="1"/>
  <c r="AI21" i="1"/>
  <c r="AI22" i="1"/>
  <c r="J34" i="1"/>
  <c r="A8" i="2"/>
  <c r="G9" i="2"/>
  <c r="A9" i="3"/>
  <c r="E5" i="3"/>
  <c r="AL9" i="1"/>
  <c r="AR8" i="1"/>
  <c r="C9" i="3"/>
  <c r="J39" i="1"/>
  <c r="AR6" i="1"/>
  <c r="B9" i="3"/>
  <c r="D16" i="3" l="1"/>
  <c r="C15" i="3"/>
  <c r="AR9" i="1"/>
  <c r="AR11" i="1" s="1"/>
  <c r="E9" i="3"/>
  <c r="C14" i="3" s="1"/>
  <c r="A17" i="3"/>
  <c r="D17" i="3"/>
  <c r="A15" i="3"/>
  <c r="D15" i="3"/>
  <c r="B15" i="3"/>
  <c r="B18" i="3" s="1"/>
  <c r="A16" i="3"/>
  <c r="B17" i="3"/>
  <c r="C16" i="3"/>
  <c r="C18" i="3" s="1"/>
  <c r="B10" i="4"/>
  <c r="B8" i="4"/>
  <c r="B17" i="4"/>
  <c r="B21" i="4" s="1"/>
  <c r="C17" i="3"/>
  <c r="B14" i="3"/>
  <c r="B16" i="3"/>
  <c r="D14" i="3"/>
  <c r="AR15" i="1"/>
  <c r="AR10" i="1"/>
  <c r="J43" i="1"/>
  <c r="A14" i="3"/>
  <c r="A18" i="3" s="1"/>
  <c r="G10" i="2"/>
  <c r="A9" i="2"/>
  <c r="J42" i="1"/>
  <c r="J44" i="1" s="1"/>
  <c r="T17" i="2"/>
  <c r="Q17" i="2"/>
  <c r="R17" i="2" s="1"/>
  <c r="G9" i="1"/>
  <c r="A8" i="1"/>
  <c r="O24" i="1"/>
  <c r="Q5" i="1"/>
  <c r="O7" i="1"/>
  <c r="O13" i="2"/>
  <c r="Q13" i="2" s="1"/>
  <c r="O18" i="2"/>
  <c r="Q18" i="2" s="1"/>
  <c r="Q7" i="2"/>
  <c r="R5" i="2" s="1"/>
  <c r="S5" i="2" s="1"/>
  <c r="O12" i="1"/>
  <c r="O17" i="1"/>
  <c r="T6" i="1"/>
  <c r="Q6" i="1"/>
  <c r="Q12" i="2"/>
  <c r="T12" i="2"/>
  <c r="B3" i="4" a="1"/>
  <c r="A22" i="3" a="1"/>
  <c r="S17" i="2"/>
  <c r="B22" i="3" l="1"/>
  <c r="A22" i="3"/>
  <c r="C22" i="3"/>
  <c r="D22" i="3"/>
  <c r="C3" i="4"/>
  <c r="D3" i="4"/>
  <c r="E3" i="4"/>
  <c r="B3" i="4"/>
  <c r="D18" i="3"/>
  <c r="G15" i="3" s="1"/>
  <c r="R12" i="2"/>
  <c r="T17" i="1"/>
  <c r="R6" i="2"/>
  <c r="S6" i="2" s="1"/>
  <c r="G16" i="3"/>
  <c r="T12" i="1"/>
  <c r="G11" i="2"/>
  <c r="A10" i="2"/>
  <c r="O18" i="1"/>
  <c r="O13" i="1"/>
  <c r="Q7" i="1"/>
  <c r="R6" i="1" s="1"/>
  <c r="S6" i="1" s="1"/>
  <c r="G10" i="1"/>
  <c r="A9" i="1"/>
  <c r="J45" i="1"/>
  <c r="T5" i="1"/>
  <c r="O25" i="1"/>
  <c r="R5" i="1"/>
  <c r="S5" i="1" s="1"/>
  <c r="AR12" i="1"/>
  <c r="AR16" i="1" s="1"/>
  <c r="AR17" i="1" s="1"/>
  <c r="AR21" i="1"/>
  <c r="S12" i="2"/>
  <c r="G17" i="3" l="1"/>
  <c r="G24" i="3"/>
  <c r="G23" i="3"/>
  <c r="AR18" i="1"/>
  <c r="AR19" i="1"/>
  <c r="J47" i="1"/>
  <c r="P13" i="1"/>
  <c r="Q13" i="1" s="1"/>
  <c r="O27" i="1" s="1"/>
  <c r="J46" i="1"/>
  <c r="P12" i="1"/>
  <c r="Q12" i="1" s="1"/>
  <c r="A10" i="1"/>
  <c r="G11" i="1"/>
  <c r="A11" i="2"/>
  <c r="G12" i="2"/>
  <c r="B7" i="4"/>
  <c r="B9" i="4" s="1"/>
  <c r="B11" i="4" s="1"/>
  <c r="B13" i="4" s="1"/>
  <c r="G25" i="3" l="1"/>
  <c r="B19" i="4" s="1"/>
  <c r="B20" i="4" s="1"/>
  <c r="B22" i="4" s="1"/>
  <c r="B24" i="4" s="1"/>
  <c r="G12" i="1"/>
  <c r="A11" i="1"/>
  <c r="A12" i="2"/>
  <c r="G13" i="2"/>
  <c r="O26" i="1"/>
  <c r="R12" i="1"/>
  <c r="J48" i="1"/>
  <c r="S12" i="1"/>
  <c r="P18" i="1" l="1"/>
  <c r="P17" i="1"/>
  <c r="Q17" i="1" s="1"/>
  <c r="O28" i="1"/>
  <c r="A13" i="2"/>
  <c r="G14" i="2"/>
  <c r="G13" i="1"/>
  <c r="A12" i="1"/>
  <c r="A13" i="1" l="1"/>
  <c r="G14" i="1"/>
  <c r="G15" i="2"/>
  <c r="A14" i="2"/>
  <c r="O29" i="1"/>
  <c r="O30" i="1" s="1"/>
  <c r="Q18" i="1"/>
  <c r="R17" i="1" s="1"/>
  <c r="S17" i="1"/>
  <c r="A14" i="1" l="1"/>
  <c r="G15" i="1"/>
  <c r="A15" i="2"/>
  <c r="G16" i="2"/>
  <c r="G17" i="2" l="1"/>
  <c r="A16" i="2"/>
  <c r="G16" i="1"/>
  <c r="A15" i="1"/>
  <c r="G17" i="1" l="1"/>
  <c r="A16" i="1"/>
  <c r="A17" i="2"/>
  <c r="G18" i="2"/>
  <c r="A18" i="2" l="1"/>
  <c r="G20" i="2" s="1"/>
  <c r="G19" i="2"/>
  <c r="G18" i="1"/>
  <c r="A17" i="1"/>
  <c r="A18" i="1" l="1"/>
  <c r="G20" i="1" s="1"/>
  <c r="G19" i="1"/>
</calcChain>
</file>

<file path=xl/sharedStrings.xml><?xml version="1.0" encoding="utf-8"?>
<sst xmlns="http://schemas.openxmlformats.org/spreadsheetml/2006/main" count="226" uniqueCount="115">
  <si>
    <t>ANOVA with matched samples - 1 within-subjects factor</t>
  </si>
  <si>
    <t>Subject</t>
  </si>
  <si>
    <t>Before</t>
  </si>
  <si>
    <t>1 week</t>
  </si>
  <si>
    <t>2 weeks</t>
  </si>
  <si>
    <t>3 weeks</t>
  </si>
  <si>
    <t>DESCRIPTION</t>
  </si>
  <si>
    <t>ANOVA</t>
  </si>
  <si>
    <t>Alpha</t>
  </si>
  <si>
    <t>Testing for sphericity</t>
  </si>
  <si>
    <t>COVARIANCE MATRIX</t>
  </si>
  <si>
    <t>EPSILON</t>
  </si>
  <si>
    <t>Sources</t>
  </si>
  <si>
    <t>SS</t>
  </si>
  <si>
    <t>df</t>
  </si>
  <si>
    <t>MS</t>
  </si>
  <si>
    <t>F</t>
  </si>
  <si>
    <t>P value</t>
  </si>
  <si>
    <t xml:space="preserve"> P Eta-sq</t>
  </si>
  <si>
    <t>Mean</t>
  </si>
  <si>
    <t>Subjects</t>
  </si>
  <si>
    <t>1-month</t>
  </si>
  <si>
    <t>2-months</t>
  </si>
  <si>
    <t>3-months</t>
  </si>
  <si>
    <t>T0 - T1</t>
  </si>
  <si>
    <t>T0 - T2</t>
  </si>
  <si>
    <t>T0 - T3</t>
  </si>
  <si>
    <t>T1 - T2</t>
  </si>
  <si>
    <t>T1 - T3</t>
  </si>
  <si>
    <t>T2 - T3</t>
  </si>
  <si>
    <t># Groups</t>
  </si>
  <si>
    <t>=COUNTA(H5:K5)</t>
  </si>
  <si>
    <t>Groups</t>
  </si>
  <si>
    <t>Means of Var</t>
  </si>
  <si>
    <t>=AVERAGE(H22:K22)</t>
  </si>
  <si>
    <t>Error</t>
  </si>
  <si>
    <t>Matrix Mean</t>
  </si>
  <si>
    <t>=AVERAGE(H30:K33)</t>
  </si>
  <si>
    <t>Total</t>
  </si>
  <si>
    <t>SS Matrix</t>
  </si>
  <si>
    <t>=SUMSQ(AL5:AO8)</t>
  </si>
  <si>
    <t>SS Row Means</t>
  </si>
  <si>
    <t>=SUMSQ(AL9:AO9)</t>
  </si>
  <si>
    <t>Greenhouse and Geisser</t>
  </si>
  <si>
    <t>GG Numerator</t>
  </si>
  <si>
    <t>=(AR5*(AR6-AR7))^2</t>
  </si>
  <si>
    <t>GG Denominator</t>
  </si>
  <si>
    <t>=(AR5-1)*(AR8-2*AR5*AR9+AR5^2*AR7^2)</t>
  </si>
  <si>
    <t>GG Epsilon</t>
  </si>
  <si>
    <t>=AR10/AR11</t>
  </si>
  <si>
    <t># Subjects</t>
  </si>
  <si>
    <t>=COUNTA(G6:G20)</t>
  </si>
  <si>
    <t>Huyhn and Feldt</t>
  </si>
  <si>
    <t>=AR5</t>
  </si>
  <si>
    <t>=AR12</t>
  </si>
  <si>
    <t>HF Numerator</t>
  </si>
  <si>
    <t>=AR14*(AR15-1)*AR16-2</t>
  </si>
  <si>
    <t>HF Denominator</t>
  </si>
  <si>
    <t>=(AR15-1)*(AR14-1-(AR15-1)*AR16)</t>
  </si>
  <si>
    <t>HF Epsilon</t>
  </si>
  <si>
    <t>=MIN(AR17/AR18,1)</t>
  </si>
  <si>
    <t>Effect size (omega squared) using GG epsilon</t>
  </si>
  <si>
    <t>var</t>
  </si>
  <si>
    <t>mean</t>
  </si>
  <si>
    <t>Lower Bound</t>
  </si>
  <si>
    <t>=1/(AR15-1)</t>
  </si>
  <si>
    <t>Variance</t>
  </si>
  <si>
    <t>n</t>
  </si>
  <si>
    <t>COUNTS</t>
  </si>
  <si>
    <t>k</t>
  </si>
  <si>
    <t>T0</t>
  </si>
  <si>
    <t>T1</t>
  </si>
  <si>
    <t>T2</t>
  </si>
  <si>
    <t>T3</t>
  </si>
  <si>
    <t>MS Subj</t>
  </si>
  <si>
    <t>MS Grps</t>
  </si>
  <si>
    <t>MS Error</t>
  </si>
  <si>
    <t>Num</t>
  </si>
  <si>
    <t>Den</t>
  </si>
  <si>
    <t>Omega^2</t>
  </si>
  <si>
    <t>P-value</t>
  </si>
  <si>
    <t>F crit</t>
  </si>
  <si>
    <t>GG epsilon</t>
  </si>
  <si>
    <t>HF epsilon</t>
  </si>
  <si>
    <t>Calculation of GG Epsilon</t>
  </si>
  <si>
    <t>Real Statistics function</t>
  </si>
  <si>
    <t>Sample covariance matrix</t>
  </si>
  <si>
    <t>GGEpsilon</t>
  </si>
  <si>
    <t>Estimated population matrix S</t>
  </si>
  <si>
    <t>=D13</t>
  </si>
  <si>
    <t>num</t>
  </si>
  <si>
    <t>=SUM(A18:D18)^2</t>
  </si>
  <si>
    <t>den</t>
  </si>
  <si>
    <t>=(G14-1)*SUMSQ(A14:D17)</t>
  </si>
  <si>
    <t>epsilon</t>
  </si>
  <si>
    <t>=G15/G16</t>
  </si>
  <si>
    <r>
      <rPr>
        <sz val="11"/>
        <color theme="1"/>
        <rFont val="Calibri"/>
        <family val="2"/>
      </rPr>
      <t xml:space="preserve">← </t>
    </r>
    <r>
      <rPr>
        <sz val="11"/>
        <color theme="1"/>
        <rFont val="Aptos Narrow"/>
        <family val="2"/>
        <scheme val="minor"/>
      </rPr>
      <t>diag</t>
    </r>
  </si>
  <si>
    <t>Eigenvalues of S</t>
  </si>
  <si>
    <t>=SUM(A22:C22)^2</t>
  </si>
  <si>
    <t>=(G22-1)*SUMSQ(A22:C22)</t>
  </si>
  <si>
    <t>=G23/G24</t>
  </si>
  <si>
    <t>Mauchly's test for sphericity</t>
  </si>
  <si>
    <t>Eigenvalues</t>
  </si>
  <si>
    <t>W</t>
  </si>
  <si>
    <t>f</t>
  </si>
  <si>
    <t>test stat</t>
  </si>
  <si>
    <t>p-value</t>
  </si>
  <si>
    <t>alpha</t>
  </si>
  <si>
    <t>sig</t>
  </si>
  <si>
    <t xml:space="preserve">John, Nagao and Sugiura's test </t>
  </si>
  <si>
    <t>V</t>
  </si>
  <si>
    <t>Real Statistics Using Excel</t>
  </si>
  <si>
    <t>Updated</t>
  </si>
  <si>
    <t>Copyright © 2013 - 2024 Charles Zaiontz</t>
  </si>
  <si>
    <t>Sphericity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</si>
</sst>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quotePrefix="1"/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6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1" xfId="0" applyBorder="1" applyAlignment="1">
      <alignment horizontal="right"/>
    </xf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COV"/>
      <definedName name="eVALUES"/>
      <definedName name="F_DIST_RT"/>
      <definedName name="GGEpsilon"/>
      <definedName name="HFEpsilon"/>
      <definedName name="JNSTest"/>
      <definedName name="MauchlyTes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CBA9-F209-4E77-9029-72030C60FC25}">
  <sheetPr codeName="Sheet1"/>
  <dimension ref="A1:M10"/>
  <sheetViews>
    <sheetView tabSelected="1" workbookViewId="0">
      <selection sqref="A1:XFD1048576"/>
    </sheetView>
  </sheetViews>
  <sheetFormatPr defaultRowHeight="14.5" x14ac:dyDescent="0.35"/>
  <cols>
    <col min="2" max="2" width="9.26953125" bestFit="1" customWidth="1"/>
  </cols>
  <sheetData>
    <row r="1" spans="1:13" x14ac:dyDescent="0.35">
      <c r="A1" t="s">
        <v>111</v>
      </c>
    </row>
    <row r="2" spans="1:13" x14ac:dyDescent="0.35">
      <c r="A2" t="s">
        <v>114</v>
      </c>
    </row>
    <row r="4" spans="1:13" x14ac:dyDescent="0.35">
      <c r="A4" t="s">
        <v>112</v>
      </c>
      <c r="B4" s="59">
        <v>45483</v>
      </c>
    </row>
    <row r="6" spans="1:13" x14ac:dyDescent="0.35">
      <c r="A6" s="60" t="s">
        <v>113</v>
      </c>
    </row>
    <row r="10" spans="1:13" ht="18.5" x14ac:dyDescent="0.45">
      <c r="M10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730B-45C2-4018-BC64-C554C6A53CF6}">
  <sheetPr codeName="Sheet2"/>
  <dimension ref="A1:AT48"/>
  <sheetViews>
    <sheetView workbookViewId="0"/>
  </sheetViews>
  <sheetFormatPr defaultRowHeight="14.5" x14ac:dyDescent="0.35"/>
  <cols>
    <col min="19" max="19" width="9.1796875" customWidth="1"/>
    <col min="37" max="37" width="9.1796875" customWidth="1"/>
    <col min="39" max="40" width="9.1796875" customWidth="1"/>
    <col min="42" max="42" width="6.54296875" customWidth="1"/>
    <col min="43" max="43" width="16.81640625" customWidth="1"/>
    <col min="45" max="45" width="3.26953125" customWidth="1"/>
    <col min="46" max="46" width="40" customWidth="1"/>
  </cols>
  <sheetData>
    <row r="1" spans="1:46" x14ac:dyDescent="0.35">
      <c r="A1" s="1" t="s">
        <v>0</v>
      </c>
    </row>
    <row r="3" spans="1:46" ht="15" thickBot="1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t="s">
        <v>6</v>
      </c>
      <c r="N3" t="s">
        <v>7</v>
      </c>
      <c r="R3" t="s">
        <v>8</v>
      </c>
      <c r="S3">
        <v>0.05</v>
      </c>
      <c r="W3" s="1" t="s">
        <v>9</v>
      </c>
      <c r="AK3" t="s">
        <v>10</v>
      </c>
      <c r="AQ3" t="s">
        <v>11</v>
      </c>
    </row>
    <row r="4" spans="1:46" ht="15" thickTop="1" x14ac:dyDescent="0.35">
      <c r="A4" s="2">
        <v>1</v>
      </c>
      <c r="B4" s="3">
        <v>16</v>
      </c>
      <c r="C4" s="4">
        <v>22</v>
      </c>
      <c r="D4" s="4">
        <v>23</v>
      </c>
      <c r="E4" s="5">
        <v>25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</row>
    <row r="5" spans="1:46" x14ac:dyDescent="0.35">
      <c r="A5" s="2">
        <f>A4+1</f>
        <v>2</v>
      </c>
      <c r="B5" s="7">
        <v>12</v>
      </c>
      <c r="C5" s="2">
        <v>18</v>
      </c>
      <c r="D5" s="2">
        <v>24</v>
      </c>
      <c r="E5" s="8">
        <v>29</v>
      </c>
      <c r="G5" s="2" t="str">
        <f>A3</f>
        <v>Subject</v>
      </c>
      <c r="H5" s="2" t="str">
        <f t="shared" ref="H5:K20" si="0">B3</f>
        <v>Before</v>
      </c>
      <c r="I5" s="2" t="str">
        <f t="shared" si="0"/>
        <v>1 week</v>
      </c>
      <c r="J5" s="2" t="str">
        <f t="shared" si="0"/>
        <v>2 weeks</v>
      </c>
      <c r="K5" s="2" t="str">
        <f t="shared" si="0"/>
        <v>3 weeks</v>
      </c>
      <c r="L5" s="2" t="s">
        <v>19</v>
      </c>
      <c r="N5" t="s">
        <v>20</v>
      </c>
      <c r="O5">
        <f>H26*DEVSQ(L6:L20)</f>
        <v>1938.4333333333334</v>
      </c>
      <c r="P5">
        <f>H25-1</f>
        <v>14</v>
      </c>
      <c r="Q5">
        <f>O5/P5</f>
        <v>138.4595238095238</v>
      </c>
      <c r="R5">
        <f>Q5/Q7</f>
        <v>14.520099875156061</v>
      </c>
      <c r="S5">
        <f>FDIST(R5,P5,P7)</f>
        <v>8.1670607503918935E-12</v>
      </c>
      <c r="T5">
        <f>O5/(O5+O7)</f>
        <v>0.82876809941853835</v>
      </c>
      <c r="W5" s="2" t="s">
        <v>1</v>
      </c>
      <c r="X5" s="2" t="s">
        <v>2</v>
      </c>
      <c r="Y5" s="2" t="s">
        <v>21</v>
      </c>
      <c r="Z5" s="2" t="s">
        <v>22</v>
      </c>
      <c r="AA5" s="2" t="s">
        <v>23</v>
      </c>
      <c r="AC5" s="2" t="s">
        <v>1</v>
      </c>
      <c r="AD5" s="9" t="s">
        <v>24</v>
      </c>
      <c r="AE5" s="9" t="s">
        <v>25</v>
      </c>
      <c r="AF5" s="9" t="s">
        <v>26</v>
      </c>
      <c r="AG5" s="9" t="s">
        <v>27</v>
      </c>
      <c r="AH5" s="9" t="s">
        <v>28</v>
      </c>
      <c r="AI5" s="9" t="s">
        <v>29</v>
      </c>
      <c r="AL5" s="10">
        <f t="array" ref="AL5:AO8">[1]!COV(H6:K20)</f>
        <v>55.838095238095235</v>
      </c>
      <c r="AM5" s="11">
        <v>39.523809523809518</v>
      </c>
      <c r="AN5" s="11">
        <v>33.752380952380946</v>
      </c>
      <c r="AO5" s="12">
        <v>28.580952380952379</v>
      </c>
      <c r="AQ5" t="s">
        <v>30</v>
      </c>
      <c r="AR5" s="18">
        <f>H26</f>
        <v>4</v>
      </c>
      <c r="AT5" s="19" t="s">
        <v>31</v>
      </c>
    </row>
    <row r="6" spans="1:46" x14ac:dyDescent="0.35">
      <c r="A6" s="2">
        <f t="shared" ref="A6:A18" si="1">A5+1</f>
        <v>3</v>
      </c>
      <c r="B6" s="7">
        <v>23</v>
      </c>
      <c r="C6" s="2">
        <v>24</v>
      </c>
      <c r="D6" s="2">
        <v>26</v>
      </c>
      <c r="E6" s="20">
        <v>27</v>
      </c>
      <c r="G6" s="2">
        <f t="shared" ref="G6:G20" si="2">A4</f>
        <v>1</v>
      </c>
      <c r="H6" s="3">
        <f t="shared" si="0"/>
        <v>16</v>
      </c>
      <c r="I6" s="4">
        <f t="shared" si="0"/>
        <v>22</v>
      </c>
      <c r="J6" s="4">
        <f t="shared" si="0"/>
        <v>23</v>
      </c>
      <c r="K6" s="21">
        <f t="shared" si="0"/>
        <v>25</v>
      </c>
      <c r="L6">
        <f>AVERAGE(H6:K6)</f>
        <v>21.5</v>
      </c>
      <c r="N6" t="s">
        <v>32</v>
      </c>
      <c r="O6">
        <f>H25*DEVSQ(H21:K21)</f>
        <v>833.25000000000023</v>
      </c>
      <c r="P6">
        <f>H26-1</f>
        <v>3</v>
      </c>
      <c r="Q6">
        <f>O6/P6</f>
        <v>277.75000000000006</v>
      </c>
      <c r="R6">
        <f>Q6/Q7</f>
        <v>29.127340823970059</v>
      </c>
      <c r="S6">
        <f>FDIST(R6,P6,P7)</f>
        <v>2.3962181631669464E-10</v>
      </c>
      <c r="T6">
        <f>O6/(O6+O7)</f>
        <v>0.67537993920972661</v>
      </c>
      <c r="W6" s="2">
        <v>1</v>
      </c>
      <c r="X6" s="22">
        <f>B4</f>
        <v>16</v>
      </c>
      <c r="Y6" s="23">
        <f t="shared" ref="Y6:AA20" si="3">C4</f>
        <v>22</v>
      </c>
      <c r="Z6" s="23">
        <f t="shared" si="3"/>
        <v>23</v>
      </c>
      <c r="AA6" s="5">
        <f t="shared" si="3"/>
        <v>25</v>
      </c>
      <c r="AC6" s="2">
        <v>1</v>
      </c>
      <c r="AD6" s="24">
        <f>X6-Y6</f>
        <v>-6</v>
      </c>
      <c r="AE6" s="25">
        <f>X6-Z6</f>
        <v>-7</v>
      </c>
      <c r="AF6" s="25">
        <f>X6-AA6</f>
        <v>-9</v>
      </c>
      <c r="AG6" s="25">
        <f>Y6-Z6</f>
        <v>-1</v>
      </c>
      <c r="AH6" s="25">
        <f>Y6-AA6</f>
        <v>-3</v>
      </c>
      <c r="AI6" s="26">
        <f>Z6-AA6</f>
        <v>-2</v>
      </c>
      <c r="AL6" s="13">
        <v>39.523809523809518</v>
      </c>
      <c r="AM6">
        <v>35.523809523809518</v>
      </c>
      <c r="AN6">
        <v>29.166666666666668</v>
      </c>
      <c r="AO6" s="14">
        <v>25.166666666666668</v>
      </c>
      <c r="AQ6" t="s">
        <v>33</v>
      </c>
      <c r="AR6" s="27">
        <f>AVERAGE(H22:K22)</f>
        <v>41.766666666666652</v>
      </c>
      <c r="AT6" s="19" t="s">
        <v>34</v>
      </c>
    </row>
    <row r="7" spans="1:46" x14ac:dyDescent="0.35">
      <c r="A7" s="2">
        <f t="shared" si="1"/>
        <v>4</v>
      </c>
      <c r="B7" s="7">
        <v>8</v>
      </c>
      <c r="C7" s="2">
        <v>20</v>
      </c>
      <c r="D7" s="2">
        <v>28</v>
      </c>
      <c r="E7" s="20">
        <v>30</v>
      </c>
      <c r="G7" s="2">
        <f t="shared" si="2"/>
        <v>2</v>
      </c>
      <c r="H7" s="7">
        <f t="shared" si="0"/>
        <v>12</v>
      </c>
      <c r="I7" s="2">
        <f t="shared" si="0"/>
        <v>18</v>
      </c>
      <c r="J7" s="2">
        <f t="shared" si="0"/>
        <v>24</v>
      </c>
      <c r="K7" s="28">
        <f t="shared" si="0"/>
        <v>29</v>
      </c>
      <c r="L7">
        <f t="shared" ref="L7:L20" si="4">AVERAGE(H7:K7)</f>
        <v>20.75</v>
      </c>
      <c r="N7" t="s">
        <v>35</v>
      </c>
      <c r="O7">
        <f>O8-O5-O6</f>
        <v>400.49999999999977</v>
      </c>
      <c r="P7">
        <f>P8-P5-P6</f>
        <v>42</v>
      </c>
      <c r="Q7">
        <f>O7/P7</f>
        <v>9.5357142857142811</v>
      </c>
      <c r="W7" s="2">
        <f>W6+1</f>
        <v>2</v>
      </c>
      <c r="X7" s="29">
        <f t="shared" ref="X7:X20" si="5">B5</f>
        <v>12</v>
      </c>
      <c r="Y7" s="2">
        <f t="shared" si="3"/>
        <v>18</v>
      </c>
      <c r="Z7" s="2">
        <f t="shared" si="3"/>
        <v>24</v>
      </c>
      <c r="AA7" s="8">
        <f t="shared" si="3"/>
        <v>29</v>
      </c>
      <c r="AC7" s="2">
        <f>AC6+1</f>
        <v>2</v>
      </c>
      <c r="AD7" s="30">
        <f t="shared" ref="AD7:AD20" si="6">X7-Y7</f>
        <v>-6</v>
      </c>
      <c r="AE7">
        <f t="shared" ref="AE7:AE20" si="7">X7-Z7</f>
        <v>-12</v>
      </c>
      <c r="AF7">
        <f t="shared" ref="AF7:AF20" si="8">X7-AA7</f>
        <v>-17</v>
      </c>
      <c r="AG7">
        <f t="shared" ref="AG7:AG20" si="9">Y7-Z7</f>
        <v>-6</v>
      </c>
      <c r="AH7">
        <f t="shared" ref="AH7:AH20" si="10">Y7-AA7</f>
        <v>-11</v>
      </c>
      <c r="AI7" s="31">
        <f t="shared" ref="AI7:AI20" si="11">Z7-AA7</f>
        <v>-5</v>
      </c>
      <c r="AL7" s="13">
        <v>33.752380952380946</v>
      </c>
      <c r="AM7">
        <v>29.166666666666668</v>
      </c>
      <c r="AN7">
        <v>41.352380952380955</v>
      </c>
      <c r="AO7" s="14">
        <v>37.195238095238096</v>
      </c>
      <c r="AQ7" t="s">
        <v>36</v>
      </c>
      <c r="AR7" s="27">
        <f>AVERAGE(H30:K33)</f>
        <v>34.61488095238095</v>
      </c>
      <c r="AT7" s="19" t="s">
        <v>37</v>
      </c>
    </row>
    <row r="8" spans="1:46" x14ac:dyDescent="0.35">
      <c r="A8" s="2">
        <f t="shared" si="1"/>
        <v>5</v>
      </c>
      <c r="B8" s="7">
        <v>3</v>
      </c>
      <c r="C8" s="2">
        <v>12</v>
      </c>
      <c r="D8" s="2">
        <v>13</v>
      </c>
      <c r="E8" s="20">
        <v>17</v>
      </c>
      <c r="G8" s="2">
        <f t="shared" si="2"/>
        <v>3</v>
      </c>
      <c r="H8" s="7">
        <f t="shared" si="0"/>
        <v>23</v>
      </c>
      <c r="I8" s="2">
        <f t="shared" si="0"/>
        <v>24</v>
      </c>
      <c r="J8" s="2">
        <f t="shared" si="0"/>
        <v>26</v>
      </c>
      <c r="K8" s="28">
        <f t="shared" si="0"/>
        <v>27</v>
      </c>
      <c r="L8">
        <f t="shared" si="4"/>
        <v>25</v>
      </c>
      <c r="N8" t="s">
        <v>38</v>
      </c>
      <c r="O8">
        <f>DEVSQ(H6:K20)</f>
        <v>3172.1833333333334</v>
      </c>
      <c r="P8">
        <f>H25*H26-1</f>
        <v>59</v>
      </c>
      <c r="W8" s="2">
        <f t="shared" ref="W8:W20" si="12">W7+1</f>
        <v>3</v>
      </c>
      <c r="X8" s="29">
        <f t="shared" si="5"/>
        <v>23</v>
      </c>
      <c r="Y8" s="2">
        <f t="shared" si="3"/>
        <v>24</v>
      </c>
      <c r="Z8" s="2">
        <f t="shared" si="3"/>
        <v>26</v>
      </c>
      <c r="AA8" s="20">
        <f t="shared" si="3"/>
        <v>27</v>
      </c>
      <c r="AC8" s="2">
        <f t="shared" ref="AC8:AC20" si="13">AC7+1</f>
        <v>3</v>
      </c>
      <c r="AD8" s="30">
        <f t="shared" si="6"/>
        <v>-1</v>
      </c>
      <c r="AE8">
        <f t="shared" si="7"/>
        <v>-3</v>
      </c>
      <c r="AF8">
        <f t="shared" si="8"/>
        <v>-4</v>
      </c>
      <c r="AG8">
        <f t="shared" si="9"/>
        <v>-2</v>
      </c>
      <c r="AH8">
        <f t="shared" si="10"/>
        <v>-3</v>
      </c>
      <c r="AI8" s="32">
        <f t="shared" si="11"/>
        <v>-1</v>
      </c>
      <c r="AL8" s="15">
        <v>28.580952380952379</v>
      </c>
      <c r="AM8" s="16">
        <v>25.166666666666668</v>
      </c>
      <c r="AN8" s="16">
        <v>37.195238095238096</v>
      </c>
      <c r="AO8" s="17">
        <v>34.352380952380955</v>
      </c>
      <c r="AQ8" t="s">
        <v>39</v>
      </c>
      <c r="AR8" s="27">
        <f>SUMSQ(AL5:AO8)</f>
        <v>20041.473151927436</v>
      </c>
      <c r="AT8" s="19" t="s">
        <v>40</v>
      </c>
    </row>
    <row r="9" spans="1:46" x14ac:dyDescent="0.35">
      <c r="A9" s="2">
        <f t="shared" si="1"/>
        <v>6</v>
      </c>
      <c r="B9" s="7">
        <v>5</v>
      </c>
      <c r="C9" s="2">
        <v>13</v>
      </c>
      <c r="D9" s="2">
        <v>11</v>
      </c>
      <c r="E9" s="20">
        <v>15</v>
      </c>
      <c r="G9" s="2">
        <f t="shared" si="2"/>
        <v>4</v>
      </c>
      <c r="H9" s="7">
        <f t="shared" si="0"/>
        <v>8</v>
      </c>
      <c r="I9" s="2">
        <f t="shared" si="0"/>
        <v>20</v>
      </c>
      <c r="J9" s="2">
        <f t="shared" si="0"/>
        <v>28</v>
      </c>
      <c r="K9" s="28">
        <f t="shared" si="0"/>
        <v>30</v>
      </c>
      <c r="L9">
        <f t="shared" si="4"/>
        <v>21.5</v>
      </c>
      <c r="N9" s="25"/>
      <c r="O9" s="25"/>
      <c r="P9" s="25"/>
      <c r="Q9" s="25"/>
      <c r="R9" s="25"/>
      <c r="S9" s="25"/>
      <c r="T9" s="25"/>
      <c r="W9" s="2">
        <f t="shared" si="12"/>
        <v>4</v>
      </c>
      <c r="X9" s="29">
        <f t="shared" si="5"/>
        <v>8</v>
      </c>
      <c r="Y9" s="2">
        <f t="shared" si="3"/>
        <v>20</v>
      </c>
      <c r="Z9" s="2">
        <f t="shared" si="3"/>
        <v>28</v>
      </c>
      <c r="AA9" s="20">
        <f t="shared" si="3"/>
        <v>30</v>
      </c>
      <c r="AC9" s="2">
        <f t="shared" si="13"/>
        <v>4</v>
      </c>
      <c r="AD9" s="30">
        <f t="shared" si="6"/>
        <v>-12</v>
      </c>
      <c r="AE9">
        <f t="shared" si="7"/>
        <v>-20</v>
      </c>
      <c r="AF9">
        <f t="shared" si="8"/>
        <v>-22</v>
      </c>
      <c r="AG9">
        <f t="shared" si="9"/>
        <v>-8</v>
      </c>
      <c r="AH9">
        <f t="shared" si="10"/>
        <v>-10</v>
      </c>
      <c r="AI9" s="32">
        <f t="shared" si="11"/>
        <v>-2</v>
      </c>
      <c r="AK9" t="s">
        <v>19</v>
      </c>
      <c r="AL9">
        <f>AVERAGE(AL5:AL8)</f>
        <v>39.423809523809517</v>
      </c>
      <c r="AM9">
        <f>AVERAGE(AM5:AM8)</f>
        <v>32.345238095238095</v>
      </c>
      <c r="AN9">
        <f>AVERAGE(AN5:AN8)</f>
        <v>35.366666666666667</v>
      </c>
      <c r="AO9">
        <f>AVERAGE(AO5:AO8)</f>
        <v>31.323809523809526</v>
      </c>
      <c r="AQ9" t="s">
        <v>41</v>
      </c>
      <c r="AR9" s="27">
        <f>SUMSQ(AL9:AO9)</f>
        <v>4832.4333390022675</v>
      </c>
      <c r="AT9" s="19" t="s">
        <v>42</v>
      </c>
    </row>
    <row r="10" spans="1:46" ht="15" thickBot="1" x14ac:dyDescent="0.4">
      <c r="A10" s="2">
        <f t="shared" si="1"/>
        <v>7</v>
      </c>
      <c r="B10" s="7">
        <v>19</v>
      </c>
      <c r="C10" s="2">
        <v>22</v>
      </c>
      <c r="D10" s="2">
        <v>25</v>
      </c>
      <c r="E10" s="20">
        <v>26</v>
      </c>
      <c r="G10" s="2">
        <f t="shared" si="2"/>
        <v>5</v>
      </c>
      <c r="H10" s="7">
        <f t="shared" si="0"/>
        <v>3</v>
      </c>
      <c r="I10" s="2">
        <f t="shared" si="0"/>
        <v>12</v>
      </c>
      <c r="J10" s="2">
        <f t="shared" si="0"/>
        <v>13</v>
      </c>
      <c r="K10" s="28">
        <f t="shared" si="0"/>
        <v>17</v>
      </c>
      <c r="L10">
        <f t="shared" si="4"/>
        <v>11.25</v>
      </c>
      <c r="N10" t="s">
        <v>43</v>
      </c>
      <c r="R10" t="s">
        <v>8</v>
      </c>
      <c r="S10">
        <v>0.05</v>
      </c>
      <c r="W10" s="2">
        <f t="shared" si="12"/>
        <v>5</v>
      </c>
      <c r="X10" s="29">
        <f t="shared" si="5"/>
        <v>3</v>
      </c>
      <c r="Y10" s="2">
        <f t="shared" si="3"/>
        <v>12</v>
      </c>
      <c r="Z10" s="2">
        <f t="shared" si="3"/>
        <v>13</v>
      </c>
      <c r="AA10" s="20">
        <f t="shared" si="3"/>
        <v>17</v>
      </c>
      <c r="AC10" s="2">
        <f t="shared" si="13"/>
        <v>5</v>
      </c>
      <c r="AD10" s="30">
        <f t="shared" si="6"/>
        <v>-9</v>
      </c>
      <c r="AE10">
        <f t="shared" si="7"/>
        <v>-10</v>
      </c>
      <c r="AF10">
        <f t="shared" si="8"/>
        <v>-14</v>
      </c>
      <c r="AG10">
        <f t="shared" si="9"/>
        <v>-1</v>
      </c>
      <c r="AH10">
        <f t="shared" si="10"/>
        <v>-5</v>
      </c>
      <c r="AI10" s="32">
        <f t="shared" si="11"/>
        <v>-4</v>
      </c>
      <c r="AQ10" t="s">
        <v>44</v>
      </c>
      <c r="AR10" s="27">
        <f>(AR5*(AR6-AR7))^2</f>
        <v>818.36862244897657</v>
      </c>
      <c r="AT10" s="19" t="s">
        <v>45</v>
      </c>
    </row>
    <row r="11" spans="1:46" ht="15" thickTop="1" x14ac:dyDescent="0.35">
      <c r="A11" s="2">
        <f t="shared" si="1"/>
        <v>8</v>
      </c>
      <c r="B11" s="7">
        <v>22</v>
      </c>
      <c r="C11" s="2">
        <v>22</v>
      </c>
      <c r="D11" s="2">
        <v>23</v>
      </c>
      <c r="E11" s="20">
        <v>26</v>
      </c>
      <c r="G11" s="2">
        <f t="shared" si="2"/>
        <v>6</v>
      </c>
      <c r="H11" s="7">
        <f t="shared" si="0"/>
        <v>5</v>
      </c>
      <c r="I11" s="2">
        <f t="shared" si="0"/>
        <v>13</v>
      </c>
      <c r="J11" s="2">
        <f t="shared" si="0"/>
        <v>11</v>
      </c>
      <c r="K11" s="28">
        <f t="shared" si="0"/>
        <v>15</v>
      </c>
      <c r="L11">
        <f t="shared" si="4"/>
        <v>11</v>
      </c>
      <c r="N11" s="6" t="s">
        <v>12</v>
      </c>
      <c r="O11" s="6" t="s">
        <v>13</v>
      </c>
      <c r="P11" s="6" t="s">
        <v>14</v>
      </c>
      <c r="Q11" s="6" t="s">
        <v>15</v>
      </c>
      <c r="R11" s="6" t="s">
        <v>16</v>
      </c>
      <c r="S11" s="6" t="s">
        <v>17</v>
      </c>
      <c r="T11" s="6" t="s">
        <v>18</v>
      </c>
      <c r="W11" s="2">
        <f t="shared" si="12"/>
        <v>6</v>
      </c>
      <c r="X11" s="29">
        <f t="shared" si="5"/>
        <v>5</v>
      </c>
      <c r="Y11" s="2">
        <f t="shared" si="3"/>
        <v>13</v>
      </c>
      <c r="Z11" s="2">
        <f t="shared" si="3"/>
        <v>11</v>
      </c>
      <c r="AA11" s="20">
        <f t="shared" si="3"/>
        <v>15</v>
      </c>
      <c r="AC11" s="2">
        <f t="shared" si="13"/>
        <v>6</v>
      </c>
      <c r="AD11" s="30">
        <f t="shared" si="6"/>
        <v>-8</v>
      </c>
      <c r="AE11">
        <f t="shared" si="7"/>
        <v>-6</v>
      </c>
      <c r="AF11">
        <f t="shared" si="8"/>
        <v>-10</v>
      </c>
      <c r="AG11">
        <f t="shared" si="9"/>
        <v>2</v>
      </c>
      <c r="AH11">
        <f t="shared" si="10"/>
        <v>-2</v>
      </c>
      <c r="AI11" s="32">
        <f t="shared" si="11"/>
        <v>-4</v>
      </c>
      <c r="AQ11" t="s">
        <v>46</v>
      </c>
      <c r="AR11" s="27">
        <f>(AR5-1)*(AR8-2*AR5*AR9+AR5^2*AR7^2)</f>
        <v>1659.1385204081562</v>
      </c>
      <c r="AT11" s="19" t="s">
        <v>47</v>
      </c>
    </row>
    <row r="12" spans="1:46" x14ac:dyDescent="0.35">
      <c r="A12" s="2">
        <f t="shared" si="1"/>
        <v>9</v>
      </c>
      <c r="B12" s="7">
        <v>12</v>
      </c>
      <c r="C12" s="2">
        <v>20</v>
      </c>
      <c r="D12" s="2">
        <v>22</v>
      </c>
      <c r="E12" s="20">
        <v>24</v>
      </c>
      <c r="G12" s="2">
        <f t="shared" si="2"/>
        <v>7</v>
      </c>
      <c r="H12" s="7">
        <f t="shared" si="0"/>
        <v>19</v>
      </c>
      <c r="I12" s="2">
        <f t="shared" si="0"/>
        <v>22</v>
      </c>
      <c r="J12" s="2">
        <f t="shared" si="0"/>
        <v>25</v>
      </c>
      <c r="K12" s="28">
        <f t="shared" si="0"/>
        <v>26</v>
      </c>
      <c r="L12">
        <f t="shared" si="4"/>
        <v>23</v>
      </c>
      <c r="N12" t="s">
        <v>32</v>
      </c>
      <c r="O12">
        <f>O6</f>
        <v>833.25000000000023</v>
      </c>
      <c r="P12">
        <f>P6*J45</f>
        <v>1.4797473731988102</v>
      </c>
      <c r="Q12">
        <f>O12/P12</f>
        <v>563.10287491758879</v>
      </c>
      <c r="R12">
        <f>Q12/Q13</f>
        <v>29.127340823970062</v>
      </c>
      <c r="S12">
        <f>[1]!F_DIST_RT(R12,P12,P13)</f>
        <v>4.1423136162288543E-6</v>
      </c>
      <c r="T12">
        <f>O12/(O12+O13)</f>
        <v>0.67537993920972661</v>
      </c>
      <c r="W12" s="2">
        <f t="shared" si="12"/>
        <v>7</v>
      </c>
      <c r="X12" s="29">
        <f t="shared" si="5"/>
        <v>19</v>
      </c>
      <c r="Y12" s="2">
        <f t="shared" si="3"/>
        <v>22</v>
      </c>
      <c r="Z12" s="2">
        <f t="shared" si="3"/>
        <v>25</v>
      </c>
      <c r="AA12" s="20">
        <f t="shared" si="3"/>
        <v>26</v>
      </c>
      <c r="AC12" s="2">
        <f t="shared" si="13"/>
        <v>7</v>
      </c>
      <c r="AD12" s="30">
        <f t="shared" si="6"/>
        <v>-3</v>
      </c>
      <c r="AE12">
        <f t="shared" si="7"/>
        <v>-6</v>
      </c>
      <c r="AF12">
        <f t="shared" si="8"/>
        <v>-7</v>
      </c>
      <c r="AG12">
        <f t="shared" si="9"/>
        <v>-3</v>
      </c>
      <c r="AH12">
        <f t="shared" si="10"/>
        <v>-4</v>
      </c>
      <c r="AI12" s="32">
        <f t="shared" si="11"/>
        <v>-1</v>
      </c>
      <c r="AQ12" t="s">
        <v>48</v>
      </c>
      <c r="AR12" s="33">
        <f>AR10/AR11</f>
        <v>0.49324912439960339</v>
      </c>
      <c r="AT12" s="19" t="s">
        <v>49</v>
      </c>
    </row>
    <row r="13" spans="1:46" x14ac:dyDescent="0.35">
      <c r="A13" s="2">
        <f t="shared" si="1"/>
        <v>10</v>
      </c>
      <c r="B13" s="7">
        <v>16</v>
      </c>
      <c r="C13" s="2">
        <v>22</v>
      </c>
      <c r="D13" s="2">
        <v>26</v>
      </c>
      <c r="E13" s="20">
        <v>29</v>
      </c>
      <c r="G13" s="2">
        <f t="shared" si="2"/>
        <v>8</v>
      </c>
      <c r="H13" s="7">
        <f t="shared" si="0"/>
        <v>22</v>
      </c>
      <c r="I13" s="2">
        <f t="shared" si="0"/>
        <v>22</v>
      </c>
      <c r="J13" s="2">
        <f t="shared" si="0"/>
        <v>23</v>
      </c>
      <c r="K13" s="28">
        <f t="shared" si="0"/>
        <v>26</v>
      </c>
      <c r="L13">
        <f t="shared" si="4"/>
        <v>23.25</v>
      </c>
      <c r="N13" t="s">
        <v>35</v>
      </c>
      <c r="O13">
        <f>O7</f>
        <v>400.49999999999977</v>
      </c>
      <c r="P13">
        <f>P7*J45</f>
        <v>20.716463224783343</v>
      </c>
      <c r="Q13">
        <f>O13/P13</f>
        <v>19.332450508293181</v>
      </c>
      <c r="W13" s="2">
        <f t="shared" si="12"/>
        <v>8</v>
      </c>
      <c r="X13" s="29">
        <f t="shared" si="5"/>
        <v>22</v>
      </c>
      <c r="Y13" s="2">
        <f t="shared" si="3"/>
        <v>22</v>
      </c>
      <c r="Z13" s="2">
        <f t="shared" si="3"/>
        <v>23</v>
      </c>
      <c r="AA13" s="20">
        <f t="shared" si="3"/>
        <v>26</v>
      </c>
      <c r="AC13" s="2">
        <f t="shared" si="13"/>
        <v>8</v>
      </c>
      <c r="AD13" s="30">
        <f t="shared" si="6"/>
        <v>0</v>
      </c>
      <c r="AE13">
        <f t="shared" si="7"/>
        <v>-1</v>
      </c>
      <c r="AF13">
        <f t="shared" si="8"/>
        <v>-4</v>
      </c>
      <c r="AG13">
        <f t="shared" si="9"/>
        <v>-1</v>
      </c>
      <c r="AH13">
        <f t="shared" si="10"/>
        <v>-4</v>
      </c>
      <c r="AI13" s="32">
        <f t="shared" si="11"/>
        <v>-3</v>
      </c>
    </row>
    <row r="14" spans="1:46" x14ac:dyDescent="0.35">
      <c r="A14" s="2">
        <f t="shared" si="1"/>
        <v>11</v>
      </c>
      <c r="B14" s="7">
        <v>14</v>
      </c>
      <c r="C14" s="2">
        <v>25</v>
      </c>
      <c r="D14" s="2">
        <v>18</v>
      </c>
      <c r="E14" s="20">
        <v>21</v>
      </c>
      <c r="G14" s="2">
        <f t="shared" si="2"/>
        <v>9</v>
      </c>
      <c r="H14" s="7">
        <f t="shared" si="0"/>
        <v>12</v>
      </c>
      <c r="I14" s="2">
        <f t="shared" si="0"/>
        <v>20</v>
      </c>
      <c r="J14" s="2">
        <f t="shared" si="0"/>
        <v>22</v>
      </c>
      <c r="K14" s="28">
        <f t="shared" si="0"/>
        <v>24</v>
      </c>
      <c r="L14">
        <f t="shared" si="4"/>
        <v>19.5</v>
      </c>
      <c r="N14" s="25"/>
      <c r="O14" s="25"/>
      <c r="P14" s="25"/>
      <c r="Q14" s="25"/>
      <c r="R14" s="25"/>
      <c r="S14" s="25"/>
      <c r="T14" s="25"/>
      <c r="W14" s="2">
        <f t="shared" si="12"/>
        <v>9</v>
      </c>
      <c r="X14" s="29">
        <f t="shared" si="5"/>
        <v>12</v>
      </c>
      <c r="Y14" s="2">
        <f t="shared" si="3"/>
        <v>20</v>
      </c>
      <c r="Z14" s="2">
        <f t="shared" si="3"/>
        <v>22</v>
      </c>
      <c r="AA14" s="20">
        <f t="shared" si="3"/>
        <v>24</v>
      </c>
      <c r="AC14" s="2">
        <f t="shared" si="13"/>
        <v>9</v>
      </c>
      <c r="AD14" s="30">
        <f t="shared" si="6"/>
        <v>-8</v>
      </c>
      <c r="AE14">
        <f t="shared" si="7"/>
        <v>-10</v>
      </c>
      <c r="AF14">
        <f t="shared" si="8"/>
        <v>-12</v>
      </c>
      <c r="AG14">
        <f t="shared" si="9"/>
        <v>-2</v>
      </c>
      <c r="AH14">
        <f t="shared" si="10"/>
        <v>-4</v>
      </c>
      <c r="AI14" s="32">
        <f t="shared" si="11"/>
        <v>-2</v>
      </c>
      <c r="AQ14" t="s">
        <v>50</v>
      </c>
      <c r="AR14" s="34">
        <f>H25</f>
        <v>15</v>
      </c>
      <c r="AT14" s="19" t="s">
        <v>51</v>
      </c>
    </row>
    <row r="15" spans="1:46" ht="15" thickBot="1" x14ac:dyDescent="0.4">
      <c r="A15" s="2">
        <f t="shared" si="1"/>
        <v>12</v>
      </c>
      <c r="B15" s="7">
        <v>24</v>
      </c>
      <c r="C15" s="2">
        <v>26</v>
      </c>
      <c r="D15" s="2">
        <v>21</v>
      </c>
      <c r="E15" s="20">
        <v>23</v>
      </c>
      <c r="G15" s="2">
        <f t="shared" si="2"/>
        <v>10</v>
      </c>
      <c r="H15" s="7">
        <f t="shared" si="0"/>
        <v>16</v>
      </c>
      <c r="I15" s="2">
        <f t="shared" si="0"/>
        <v>22</v>
      </c>
      <c r="J15" s="2">
        <f t="shared" si="0"/>
        <v>26</v>
      </c>
      <c r="K15" s="28">
        <f t="shared" si="0"/>
        <v>29</v>
      </c>
      <c r="L15">
        <f t="shared" si="4"/>
        <v>23.25</v>
      </c>
      <c r="N15" t="s">
        <v>52</v>
      </c>
      <c r="R15" t="s">
        <v>8</v>
      </c>
      <c r="S15">
        <v>0.05</v>
      </c>
      <c r="W15" s="2">
        <f t="shared" si="12"/>
        <v>10</v>
      </c>
      <c r="X15" s="29">
        <f t="shared" si="5"/>
        <v>16</v>
      </c>
      <c r="Y15" s="2">
        <f t="shared" si="3"/>
        <v>22</v>
      </c>
      <c r="Z15" s="2">
        <f t="shared" si="3"/>
        <v>26</v>
      </c>
      <c r="AA15" s="20">
        <f t="shared" si="3"/>
        <v>29</v>
      </c>
      <c r="AC15" s="2">
        <f t="shared" si="13"/>
        <v>10</v>
      </c>
      <c r="AD15" s="30">
        <f t="shared" si="6"/>
        <v>-6</v>
      </c>
      <c r="AE15">
        <f t="shared" si="7"/>
        <v>-10</v>
      </c>
      <c r="AF15">
        <f t="shared" si="8"/>
        <v>-13</v>
      </c>
      <c r="AG15">
        <f t="shared" si="9"/>
        <v>-4</v>
      </c>
      <c r="AH15">
        <f t="shared" si="10"/>
        <v>-7</v>
      </c>
      <c r="AI15" s="32">
        <f t="shared" si="11"/>
        <v>-3</v>
      </c>
      <c r="AQ15" t="s">
        <v>30</v>
      </c>
      <c r="AR15" s="27">
        <f>AR5</f>
        <v>4</v>
      </c>
      <c r="AT15" s="19" t="s">
        <v>53</v>
      </c>
    </row>
    <row r="16" spans="1:46" ht="15" thickTop="1" x14ac:dyDescent="0.35">
      <c r="A16" s="2">
        <f t="shared" si="1"/>
        <v>13</v>
      </c>
      <c r="B16" s="7">
        <v>9</v>
      </c>
      <c r="C16" s="2">
        <v>12</v>
      </c>
      <c r="D16" s="2">
        <v>20</v>
      </c>
      <c r="E16" s="20">
        <v>23</v>
      </c>
      <c r="G16" s="2">
        <f t="shared" si="2"/>
        <v>11</v>
      </c>
      <c r="H16" s="7">
        <f t="shared" si="0"/>
        <v>14</v>
      </c>
      <c r="I16" s="2">
        <f t="shared" si="0"/>
        <v>25</v>
      </c>
      <c r="J16" s="2">
        <f t="shared" si="0"/>
        <v>18</v>
      </c>
      <c r="K16" s="28">
        <f t="shared" si="0"/>
        <v>21</v>
      </c>
      <c r="L16">
        <f t="shared" si="4"/>
        <v>19.5</v>
      </c>
      <c r="N16" s="6" t="s">
        <v>12</v>
      </c>
      <c r="O16" s="6" t="s">
        <v>13</v>
      </c>
      <c r="P16" s="6" t="s">
        <v>14</v>
      </c>
      <c r="Q16" s="6" t="s">
        <v>15</v>
      </c>
      <c r="R16" s="6" t="s">
        <v>16</v>
      </c>
      <c r="S16" s="6" t="s">
        <v>17</v>
      </c>
      <c r="T16" s="6" t="s">
        <v>18</v>
      </c>
      <c r="W16" s="2">
        <f t="shared" si="12"/>
        <v>11</v>
      </c>
      <c r="X16" s="29">
        <f t="shared" si="5"/>
        <v>14</v>
      </c>
      <c r="Y16" s="2">
        <f t="shared" si="3"/>
        <v>25</v>
      </c>
      <c r="Z16" s="2">
        <f t="shared" si="3"/>
        <v>18</v>
      </c>
      <c r="AA16" s="20">
        <f t="shared" si="3"/>
        <v>21</v>
      </c>
      <c r="AC16" s="2">
        <f t="shared" si="13"/>
        <v>11</v>
      </c>
      <c r="AD16" s="30">
        <f t="shared" si="6"/>
        <v>-11</v>
      </c>
      <c r="AE16">
        <f t="shared" si="7"/>
        <v>-4</v>
      </c>
      <c r="AF16">
        <f t="shared" si="8"/>
        <v>-7</v>
      </c>
      <c r="AG16">
        <f t="shared" si="9"/>
        <v>7</v>
      </c>
      <c r="AH16">
        <f t="shared" si="10"/>
        <v>4</v>
      </c>
      <c r="AI16" s="32">
        <f t="shared" si="11"/>
        <v>-3</v>
      </c>
      <c r="AQ16" t="s">
        <v>48</v>
      </c>
      <c r="AR16" s="27">
        <f>AR12</f>
        <v>0.49324912439960339</v>
      </c>
      <c r="AT16" s="19" t="s">
        <v>54</v>
      </c>
    </row>
    <row r="17" spans="1:46" x14ac:dyDescent="0.35">
      <c r="A17" s="2">
        <f t="shared" si="1"/>
        <v>14</v>
      </c>
      <c r="B17" s="7">
        <v>3</v>
      </c>
      <c r="C17" s="2">
        <v>9</v>
      </c>
      <c r="D17" s="2">
        <v>13</v>
      </c>
      <c r="E17" s="20">
        <v>16</v>
      </c>
      <c r="G17" s="2">
        <f t="shared" si="2"/>
        <v>12</v>
      </c>
      <c r="H17" s="7">
        <f t="shared" si="0"/>
        <v>24</v>
      </c>
      <c r="I17" s="2">
        <f t="shared" si="0"/>
        <v>26</v>
      </c>
      <c r="J17" s="2">
        <f t="shared" si="0"/>
        <v>21</v>
      </c>
      <c r="K17" s="28">
        <f t="shared" si="0"/>
        <v>23</v>
      </c>
      <c r="L17">
        <f t="shared" si="4"/>
        <v>23.5</v>
      </c>
      <c r="N17" t="s">
        <v>32</v>
      </c>
      <c r="O17">
        <f>O6</f>
        <v>833.25000000000023</v>
      </c>
      <c r="P17">
        <f>P6*J48</f>
        <v>1.6130833138901366</v>
      </c>
      <c r="Q17">
        <f>O17/P17</f>
        <v>516.55732399247358</v>
      </c>
      <c r="R17">
        <f>Q17/Q18</f>
        <v>29.127340823970062</v>
      </c>
      <c r="S17">
        <f>[1]!F_DIST_RT(R17,P17,P18)</f>
        <v>1.7478709514184843E-6</v>
      </c>
      <c r="T17">
        <f>O17/(O17+O18)</f>
        <v>0.67537993920972661</v>
      </c>
      <c r="W17" s="2">
        <f t="shared" si="12"/>
        <v>12</v>
      </c>
      <c r="X17" s="29">
        <f t="shared" si="5"/>
        <v>24</v>
      </c>
      <c r="Y17" s="2">
        <f t="shared" si="3"/>
        <v>26</v>
      </c>
      <c r="Z17" s="2">
        <f t="shared" si="3"/>
        <v>21</v>
      </c>
      <c r="AA17" s="20">
        <f t="shared" si="3"/>
        <v>23</v>
      </c>
      <c r="AC17" s="2">
        <f t="shared" si="13"/>
        <v>12</v>
      </c>
      <c r="AD17" s="30">
        <f t="shared" si="6"/>
        <v>-2</v>
      </c>
      <c r="AE17">
        <f t="shared" si="7"/>
        <v>3</v>
      </c>
      <c r="AF17">
        <f t="shared" si="8"/>
        <v>1</v>
      </c>
      <c r="AG17">
        <f t="shared" si="9"/>
        <v>5</v>
      </c>
      <c r="AH17">
        <f t="shared" si="10"/>
        <v>3</v>
      </c>
      <c r="AI17" s="32">
        <f t="shared" si="11"/>
        <v>-2</v>
      </c>
      <c r="AQ17" t="s">
        <v>55</v>
      </c>
      <c r="AR17" s="27">
        <f>AR14*(AR15-1)*AR16-2</f>
        <v>20.196210597982152</v>
      </c>
      <c r="AT17" s="19" t="s">
        <v>56</v>
      </c>
    </row>
    <row r="18" spans="1:46" x14ac:dyDescent="0.35">
      <c r="A18" s="2">
        <f t="shared" si="1"/>
        <v>15</v>
      </c>
      <c r="B18" s="35">
        <v>2</v>
      </c>
      <c r="C18" s="36">
        <v>8</v>
      </c>
      <c r="D18" s="36">
        <v>6</v>
      </c>
      <c r="E18" s="37">
        <v>10</v>
      </c>
      <c r="G18" s="2">
        <f t="shared" si="2"/>
        <v>13</v>
      </c>
      <c r="H18" s="7">
        <f t="shared" si="0"/>
        <v>9</v>
      </c>
      <c r="I18" s="2">
        <f t="shared" si="0"/>
        <v>12</v>
      </c>
      <c r="J18" s="2">
        <f t="shared" si="0"/>
        <v>20</v>
      </c>
      <c r="K18" s="28">
        <f t="shared" si="0"/>
        <v>23</v>
      </c>
      <c r="L18">
        <f t="shared" si="4"/>
        <v>16</v>
      </c>
      <c r="N18" t="s">
        <v>35</v>
      </c>
      <c r="O18">
        <f>O7</f>
        <v>400.49999999999977</v>
      </c>
      <c r="P18">
        <f>P7*J48</f>
        <v>22.583166394461912</v>
      </c>
      <c r="Q18">
        <f>O18/P18</f>
        <v>17.734448438471176</v>
      </c>
      <c r="W18" s="2">
        <f t="shared" si="12"/>
        <v>13</v>
      </c>
      <c r="X18" s="29">
        <f t="shared" si="5"/>
        <v>9</v>
      </c>
      <c r="Y18" s="2">
        <f t="shared" si="3"/>
        <v>12</v>
      </c>
      <c r="Z18" s="2">
        <f t="shared" si="3"/>
        <v>20</v>
      </c>
      <c r="AA18" s="20">
        <f t="shared" si="3"/>
        <v>23</v>
      </c>
      <c r="AC18" s="2">
        <f t="shared" si="13"/>
        <v>13</v>
      </c>
      <c r="AD18" s="30">
        <f t="shared" si="6"/>
        <v>-3</v>
      </c>
      <c r="AE18">
        <f t="shared" si="7"/>
        <v>-11</v>
      </c>
      <c r="AF18">
        <f t="shared" si="8"/>
        <v>-14</v>
      </c>
      <c r="AG18">
        <f t="shared" si="9"/>
        <v>-8</v>
      </c>
      <c r="AH18">
        <f t="shared" si="10"/>
        <v>-11</v>
      </c>
      <c r="AI18" s="32">
        <f t="shared" si="11"/>
        <v>-3</v>
      </c>
      <c r="AQ18" t="s">
        <v>57</v>
      </c>
      <c r="AR18" s="27">
        <f>(AR15-1)*(AR14-1-(AR15-1)*AR16)</f>
        <v>37.560757880403571</v>
      </c>
      <c r="AT18" s="19" t="s">
        <v>58</v>
      </c>
    </row>
    <row r="19" spans="1:46" x14ac:dyDescent="0.35">
      <c r="G19" s="2">
        <f t="shared" si="2"/>
        <v>14</v>
      </c>
      <c r="H19" s="7">
        <f t="shared" si="0"/>
        <v>3</v>
      </c>
      <c r="I19" s="2">
        <f t="shared" si="0"/>
        <v>9</v>
      </c>
      <c r="J19" s="2">
        <f t="shared" si="0"/>
        <v>13</v>
      </c>
      <c r="K19" s="28">
        <f t="shared" si="0"/>
        <v>16</v>
      </c>
      <c r="L19">
        <f t="shared" si="4"/>
        <v>10.25</v>
      </c>
      <c r="N19" s="25"/>
      <c r="O19" s="25"/>
      <c r="P19" s="25"/>
      <c r="Q19" s="25"/>
      <c r="R19" s="25"/>
      <c r="S19" s="25"/>
      <c r="T19" s="25"/>
      <c r="W19" s="2">
        <f t="shared" si="12"/>
        <v>14</v>
      </c>
      <c r="X19" s="29">
        <f t="shared" si="5"/>
        <v>3</v>
      </c>
      <c r="Y19" s="2">
        <f t="shared" si="3"/>
        <v>9</v>
      </c>
      <c r="Z19" s="2">
        <f t="shared" si="3"/>
        <v>13</v>
      </c>
      <c r="AA19" s="20">
        <f t="shared" si="3"/>
        <v>16</v>
      </c>
      <c r="AC19" s="2">
        <f t="shared" si="13"/>
        <v>14</v>
      </c>
      <c r="AD19" s="30">
        <f t="shared" si="6"/>
        <v>-6</v>
      </c>
      <c r="AE19">
        <f t="shared" si="7"/>
        <v>-10</v>
      </c>
      <c r="AF19">
        <f t="shared" si="8"/>
        <v>-13</v>
      </c>
      <c r="AG19">
        <f t="shared" si="9"/>
        <v>-4</v>
      </c>
      <c r="AH19">
        <f t="shared" si="10"/>
        <v>-7</v>
      </c>
      <c r="AI19" s="32">
        <f t="shared" si="11"/>
        <v>-3</v>
      </c>
      <c r="AQ19" t="s">
        <v>59</v>
      </c>
      <c r="AR19" s="38">
        <f>MIN(AR17/AR18,1)</f>
        <v>0.5376944379633789</v>
      </c>
      <c r="AT19" s="19" t="s">
        <v>60</v>
      </c>
    </row>
    <row r="20" spans="1:46" x14ac:dyDescent="0.35">
      <c r="G20" s="2">
        <f t="shared" si="2"/>
        <v>15</v>
      </c>
      <c r="H20" s="35">
        <f t="shared" si="0"/>
        <v>2</v>
      </c>
      <c r="I20" s="36">
        <f t="shared" si="0"/>
        <v>8</v>
      </c>
      <c r="J20" s="36">
        <f t="shared" si="0"/>
        <v>6</v>
      </c>
      <c r="K20" s="39">
        <f t="shared" si="0"/>
        <v>10</v>
      </c>
      <c r="L20">
        <f t="shared" si="4"/>
        <v>6.5</v>
      </c>
      <c r="W20" s="2">
        <f t="shared" si="12"/>
        <v>15</v>
      </c>
      <c r="X20" s="40">
        <f t="shared" si="5"/>
        <v>2</v>
      </c>
      <c r="Y20" s="41">
        <f t="shared" si="3"/>
        <v>8</v>
      </c>
      <c r="Z20" s="41">
        <f t="shared" si="3"/>
        <v>6</v>
      </c>
      <c r="AA20" s="37">
        <f t="shared" si="3"/>
        <v>10</v>
      </c>
      <c r="AC20" s="2">
        <f t="shared" si="13"/>
        <v>15</v>
      </c>
      <c r="AD20" s="42">
        <f t="shared" si="6"/>
        <v>-6</v>
      </c>
      <c r="AE20" s="43">
        <f t="shared" si="7"/>
        <v>-4</v>
      </c>
      <c r="AF20" s="43">
        <f t="shared" si="8"/>
        <v>-8</v>
      </c>
      <c r="AG20" s="43">
        <f t="shared" si="9"/>
        <v>2</v>
      </c>
      <c r="AH20" s="43">
        <f t="shared" si="10"/>
        <v>-2</v>
      </c>
      <c r="AI20" s="44">
        <f t="shared" si="11"/>
        <v>-4</v>
      </c>
    </row>
    <row r="21" spans="1:46" x14ac:dyDescent="0.35">
      <c r="G21" t="s">
        <v>19</v>
      </c>
      <c r="H21">
        <f>AVERAGE(H6:H20)</f>
        <v>12.533333333333333</v>
      </c>
      <c r="I21">
        <f>AVERAGE(I6:I20)</f>
        <v>18.333333333333332</v>
      </c>
      <c r="J21">
        <f>AVERAGE(J6:J20)</f>
        <v>19.933333333333334</v>
      </c>
      <c r="K21">
        <f>AVERAGE(K6:K20)</f>
        <v>22.733333333333334</v>
      </c>
      <c r="L21">
        <f>AVERAGE(L6:L20)</f>
        <v>18.383333333333333</v>
      </c>
      <c r="N21" t="s">
        <v>61</v>
      </c>
      <c r="W21" s="2" t="s">
        <v>62</v>
      </c>
      <c r="X21" s="2">
        <f>VAR(X6:X20)</f>
        <v>55.838095238095221</v>
      </c>
      <c r="Y21" s="2">
        <f>VAR(Y6:Y20)</f>
        <v>35.523809523809504</v>
      </c>
      <c r="Z21" s="2">
        <f>VAR(Z6:Z20)</f>
        <v>41.352380952380955</v>
      </c>
      <c r="AA21" s="2">
        <f>VAR(AA6:AA20)</f>
        <v>34.352380952380955</v>
      </c>
      <c r="AC21" s="2" t="s">
        <v>63</v>
      </c>
      <c r="AD21">
        <f t="shared" ref="AD21:AI21" si="14">AVERAGE(AD6:AD20)</f>
        <v>-5.8</v>
      </c>
      <c r="AE21">
        <f t="shared" si="14"/>
        <v>-7.4</v>
      </c>
      <c r="AF21">
        <f t="shared" si="14"/>
        <v>-10.199999999999999</v>
      </c>
      <c r="AG21">
        <f t="shared" si="14"/>
        <v>-1.6</v>
      </c>
      <c r="AH21">
        <f t="shared" si="14"/>
        <v>-4.4000000000000004</v>
      </c>
      <c r="AI21">
        <f t="shared" si="14"/>
        <v>-2.8</v>
      </c>
      <c r="AQ21" t="s">
        <v>64</v>
      </c>
      <c r="AR21" s="45">
        <f>1/(AR15-1)</f>
        <v>0.33333333333333331</v>
      </c>
      <c r="AT21" s="19" t="s">
        <v>65</v>
      </c>
    </row>
    <row r="22" spans="1:46" x14ac:dyDescent="0.35">
      <c r="G22" t="s">
        <v>66</v>
      </c>
      <c r="H22">
        <f>VAR(H6:H20)</f>
        <v>55.838095238095221</v>
      </c>
      <c r="I22">
        <f>VAR(I6:I20)</f>
        <v>35.523809523809504</v>
      </c>
      <c r="J22">
        <f>VAR(J6:J20)</f>
        <v>41.352380952380955</v>
      </c>
      <c r="K22">
        <f>VAR(K6:K20)</f>
        <v>34.352380952380955</v>
      </c>
      <c r="L22">
        <f>VAR(L6:L20)</f>
        <v>34.614880952380972</v>
      </c>
      <c r="AC22" s="2" t="s">
        <v>62</v>
      </c>
      <c r="AD22">
        <f t="shared" ref="AD22:AI22" si="15">VAR(AD6:AD20)</f>
        <v>12.314285714285713</v>
      </c>
      <c r="AE22">
        <f t="shared" si="15"/>
        <v>29.685714285714287</v>
      </c>
      <c r="AF22">
        <f t="shared" si="15"/>
        <v>33.028571428571432</v>
      </c>
      <c r="AG22">
        <f t="shared" si="15"/>
        <v>18.542857142857144</v>
      </c>
      <c r="AH22">
        <f t="shared" si="15"/>
        <v>19.542857142857144</v>
      </c>
      <c r="AI22">
        <f t="shared" si="15"/>
        <v>1.3142857142857147</v>
      </c>
    </row>
    <row r="23" spans="1:46" x14ac:dyDescent="0.35">
      <c r="N23" t="s">
        <v>67</v>
      </c>
      <c r="O23" s="34">
        <f>P5+1</f>
        <v>15</v>
      </c>
      <c r="AD23">
        <f>W25+X26-2*X25</f>
        <v>12.314285714285717</v>
      </c>
      <c r="AE23">
        <f>W25+Y27-2*Y25</f>
        <v>29.685714285714297</v>
      </c>
      <c r="AF23">
        <f>W25+Z28-2*Z25</f>
        <v>33.028571428571432</v>
      </c>
      <c r="AG23">
        <f>X26+Y27-2*Y26</f>
        <v>18.542857142857137</v>
      </c>
      <c r="AH23">
        <f>X26+Z28-2*Z26</f>
        <v>19.542857142857137</v>
      </c>
      <c r="AI23">
        <f>Y27+Z28-2*Z27</f>
        <v>1.3142857142857167</v>
      </c>
    </row>
    <row r="24" spans="1:46" ht="15" thickBot="1" x14ac:dyDescent="0.4">
      <c r="G24" t="s">
        <v>68</v>
      </c>
      <c r="N24" t="s">
        <v>69</v>
      </c>
      <c r="O24" s="27">
        <f>P6+1</f>
        <v>4</v>
      </c>
      <c r="W24" s="2" t="s">
        <v>70</v>
      </c>
      <c r="X24" s="2" t="s">
        <v>71</v>
      </c>
      <c r="Y24" s="2" t="s">
        <v>72</v>
      </c>
      <c r="Z24" s="2" t="s">
        <v>73</v>
      </c>
      <c r="AA24" s="2" t="s">
        <v>63</v>
      </c>
    </row>
    <row r="25" spans="1:46" ht="15" thickTop="1" x14ac:dyDescent="0.35">
      <c r="G25" s="46" t="s">
        <v>20</v>
      </c>
      <c r="H25" s="46">
        <f>COUNT(H6:H20)</f>
        <v>15</v>
      </c>
      <c r="N25" t="s">
        <v>74</v>
      </c>
      <c r="O25" s="27">
        <f>Q5</f>
        <v>138.4595238095238</v>
      </c>
      <c r="V25" s="9" t="s">
        <v>70</v>
      </c>
      <c r="W25" s="24">
        <f t="array" ref="W25:Z28">[1]!COV(X6:AA20)</f>
        <v>55.838095238095235</v>
      </c>
      <c r="X25" s="25">
        <v>39.523809523809518</v>
      </c>
      <c r="Y25" s="25">
        <v>33.752380952380946</v>
      </c>
      <c r="Z25" s="26">
        <v>28.580952380952379</v>
      </c>
      <c r="AA25">
        <f>AVERAGE(W25:Z25)</f>
        <v>39.423809523809517</v>
      </c>
    </row>
    <row r="26" spans="1:46" x14ac:dyDescent="0.35">
      <c r="G26" t="s">
        <v>32</v>
      </c>
      <c r="H26">
        <f>COUNT(H6:K6)</f>
        <v>4</v>
      </c>
      <c r="N26" t="s">
        <v>75</v>
      </c>
      <c r="O26" s="27">
        <f>Q12</f>
        <v>563.10287491758879</v>
      </c>
      <c r="V26" s="9" t="s">
        <v>71</v>
      </c>
      <c r="W26" s="30">
        <v>39.523809523809518</v>
      </c>
      <c r="X26">
        <v>35.523809523809518</v>
      </c>
      <c r="Y26">
        <v>29.166666666666668</v>
      </c>
      <c r="Z26" s="32">
        <v>25.166666666666668</v>
      </c>
      <c r="AA26">
        <f>AVERAGE(W26:Z26)</f>
        <v>32.345238095238095</v>
      </c>
    </row>
    <row r="27" spans="1:46" x14ac:dyDescent="0.35">
      <c r="G27" s="25"/>
      <c r="H27" s="25"/>
      <c r="N27" t="s">
        <v>76</v>
      </c>
      <c r="O27" s="27">
        <f>Q13</f>
        <v>19.332450508293181</v>
      </c>
      <c r="V27" s="9" t="s">
        <v>72</v>
      </c>
      <c r="W27" s="30">
        <v>33.752380952380946</v>
      </c>
      <c r="X27">
        <v>29.166666666666668</v>
      </c>
      <c r="Y27">
        <v>41.352380952380955</v>
      </c>
      <c r="Z27" s="32">
        <v>37.195238095238096</v>
      </c>
      <c r="AA27">
        <f>AVERAGE(W27:Z27)</f>
        <v>35.366666666666667</v>
      </c>
    </row>
    <row r="28" spans="1:46" x14ac:dyDescent="0.35">
      <c r="G28" t="s">
        <v>10</v>
      </c>
      <c r="N28" t="s">
        <v>77</v>
      </c>
      <c r="O28" s="27">
        <f>(O23-O24)/(O23*O24)*(O26-O27)</f>
        <v>99.691244475037522</v>
      </c>
      <c r="V28" s="9" t="s">
        <v>73</v>
      </c>
      <c r="W28" s="42">
        <v>28.580952380952379</v>
      </c>
      <c r="X28" s="43">
        <v>25.166666666666668</v>
      </c>
      <c r="Y28" s="43">
        <v>37.195238095238096</v>
      </c>
      <c r="Z28" s="44">
        <v>34.352380952380955</v>
      </c>
      <c r="AA28">
        <f>AVERAGE(W28:Z28)</f>
        <v>31.323809523809526</v>
      </c>
    </row>
    <row r="29" spans="1:46" x14ac:dyDescent="0.35">
      <c r="N29" t="s">
        <v>78</v>
      </c>
      <c r="O29" s="27">
        <f>O26+(O25-O27)/O24+O28</f>
        <v>692.57588771793394</v>
      </c>
    </row>
    <row r="30" spans="1:46" ht="15" thickBot="1" x14ac:dyDescent="0.4">
      <c r="H30" s="10">
        <f t="array" ref="H30:K33">[1]!COV(H6:K20)</f>
        <v>55.838095238095235</v>
      </c>
      <c r="I30" s="11">
        <v>39.523809523809518</v>
      </c>
      <c r="J30" s="11">
        <v>33.752380952380946</v>
      </c>
      <c r="K30" s="12">
        <v>28.580952380952379</v>
      </c>
      <c r="N30" t="s">
        <v>79</v>
      </c>
      <c r="O30" s="38">
        <f>O28/O29</f>
        <v>0.14394270179333599</v>
      </c>
    </row>
    <row r="31" spans="1:46" x14ac:dyDescent="0.35">
      <c r="H31" s="13">
        <v>39.523809523809518</v>
      </c>
      <c r="I31">
        <v>35.523809523809518</v>
      </c>
      <c r="J31">
        <v>29.166666666666668</v>
      </c>
      <c r="K31" s="14">
        <v>25.166666666666668</v>
      </c>
      <c r="AQ31" s="47" t="s">
        <v>80</v>
      </c>
      <c r="AR31" s="47" t="s">
        <v>81</v>
      </c>
    </row>
    <row r="32" spans="1:46" x14ac:dyDescent="0.35">
      <c r="H32" s="13">
        <v>33.752380952380946</v>
      </c>
      <c r="I32">
        <v>29.166666666666668</v>
      </c>
      <c r="J32">
        <v>41.352380952380955</v>
      </c>
      <c r="K32" s="14">
        <v>37.195238095238096</v>
      </c>
      <c r="AQ32">
        <v>8.1670607503920066E-12</v>
      </c>
      <c r="AR32">
        <v>1.9350088132446253</v>
      </c>
    </row>
    <row r="33" spans="7:44" x14ac:dyDescent="0.35">
      <c r="H33" s="15">
        <v>28.580952380952379</v>
      </c>
      <c r="I33" s="16">
        <v>25.166666666666668</v>
      </c>
      <c r="J33" s="16">
        <v>37.195238095238096</v>
      </c>
      <c r="K33" s="17">
        <v>34.352380952380955</v>
      </c>
      <c r="AQ33">
        <v>2.39621816316698E-10</v>
      </c>
      <c r="AR33">
        <v>2.8270487120861261</v>
      </c>
    </row>
    <row r="34" spans="7:44" x14ac:dyDescent="0.35">
      <c r="G34" t="s">
        <v>19</v>
      </c>
      <c r="H34">
        <f>AVERAGE(H30:H33)</f>
        <v>39.423809523809517</v>
      </c>
      <c r="I34">
        <f>AVERAGE(I30:I33)</f>
        <v>32.345238095238095</v>
      </c>
      <c r="J34">
        <f>AVERAGE(J30:J33)</f>
        <v>35.366666666666667</v>
      </c>
      <c r="K34">
        <f>AVERAGE(K30:K33)</f>
        <v>31.323809523809526</v>
      </c>
    </row>
    <row r="36" spans="7:44" ht="15" thickBot="1" x14ac:dyDescent="0.4">
      <c r="G36" t="s">
        <v>11</v>
      </c>
      <c r="AQ36" s="48"/>
      <c r="AR36" s="48"/>
    </row>
    <row r="37" spans="7:44" x14ac:dyDescent="0.35">
      <c r="H37" t="s">
        <v>50</v>
      </c>
      <c r="J37">
        <f>H25</f>
        <v>15</v>
      </c>
    </row>
    <row r="38" spans="7:44" x14ac:dyDescent="0.35">
      <c r="H38" t="s">
        <v>30</v>
      </c>
      <c r="J38">
        <f>H26</f>
        <v>4</v>
      </c>
    </row>
    <row r="39" spans="7:44" x14ac:dyDescent="0.35">
      <c r="H39" t="s">
        <v>33</v>
      </c>
      <c r="J39">
        <f>AVERAGE(H22:K22)</f>
        <v>41.766666666666652</v>
      </c>
    </row>
    <row r="40" spans="7:44" x14ac:dyDescent="0.35">
      <c r="H40" t="s">
        <v>36</v>
      </c>
      <c r="J40">
        <f>AVERAGE(H30:K33)</f>
        <v>34.61488095238095</v>
      </c>
    </row>
    <row r="41" spans="7:44" x14ac:dyDescent="0.35">
      <c r="H41" t="s">
        <v>39</v>
      </c>
      <c r="J41">
        <f>SUMSQ(H30:K33)</f>
        <v>20041.473151927436</v>
      </c>
    </row>
    <row r="42" spans="7:44" x14ac:dyDescent="0.35">
      <c r="H42" t="s">
        <v>41</v>
      </c>
      <c r="J42">
        <f>SUMSQ(H34:K34)</f>
        <v>4832.4333390022675</v>
      </c>
    </row>
    <row r="43" spans="7:44" x14ac:dyDescent="0.35">
      <c r="H43" t="s">
        <v>44</v>
      </c>
      <c r="J43">
        <f>(J38*(J39-J40))^2</f>
        <v>818.36862244897657</v>
      </c>
    </row>
    <row r="44" spans="7:44" x14ac:dyDescent="0.35">
      <c r="H44" t="s">
        <v>46</v>
      </c>
      <c r="J44">
        <f>(J38-1)*(J41-2*J38*J42+J38^2*J40^2)</f>
        <v>1659.1385204081562</v>
      </c>
    </row>
    <row r="45" spans="7:44" x14ac:dyDescent="0.35">
      <c r="H45" t="s">
        <v>48</v>
      </c>
      <c r="J45">
        <f>J43/J44</f>
        <v>0.49324912439960339</v>
      </c>
    </row>
    <row r="46" spans="7:44" x14ac:dyDescent="0.35">
      <c r="H46" t="s">
        <v>55</v>
      </c>
      <c r="J46">
        <f>J37*(J38-1)*J45-2</f>
        <v>20.196210597982152</v>
      </c>
    </row>
    <row r="47" spans="7:44" x14ac:dyDescent="0.35">
      <c r="H47" t="s">
        <v>57</v>
      </c>
      <c r="J47">
        <f>(J38-1)*(J37-1-(J38-1)*J45)</f>
        <v>37.560757880403571</v>
      </c>
    </row>
    <row r="48" spans="7:44" x14ac:dyDescent="0.35">
      <c r="H48" t="s">
        <v>59</v>
      </c>
      <c r="J48">
        <f>MIN(J46/J47,1)</f>
        <v>0.5376944379633789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8782-402A-4B24-BA54-D7251A54AFBF}">
  <sheetPr codeName="Sheet3"/>
  <dimension ref="A1:T25"/>
  <sheetViews>
    <sheetView workbookViewId="0"/>
  </sheetViews>
  <sheetFormatPr defaultRowHeight="14.5" x14ac:dyDescent="0.35"/>
  <cols>
    <col min="7" max="7" width="10.26953125" customWidth="1"/>
    <col min="13" max="13" width="3.7265625" customWidth="1"/>
    <col min="14" max="14" width="8.453125" customWidth="1"/>
    <col min="19" max="19" width="9.1796875" customWidth="1"/>
  </cols>
  <sheetData>
    <row r="1" spans="1:20" x14ac:dyDescent="0.35">
      <c r="A1" s="1" t="s">
        <v>0</v>
      </c>
    </row>
    <row r="3" spans="1:20" ht="15" thickBot="1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t="s">
        <v>6</v>
      </c>
      <c r="N3" t="s">
        <v>7</v>
      </c>
      <c r="R3" t="s">
        <v>8</v>
      </c>
      <c r="S3">
        <v>0.05</v>
      </c>
    </row>
    <row r="4" spans="1:20" ht="15" thickTop="1" x14ac:dyDescent="0.35">
      <c r="A4" s="2">
        <v>1</v>
      </c>
      <c r="B4" s="3">
        <v>16</v>
      </c>
      <c r="C4" s="4">
        <v>22</v>
      </c>
      <c r="D4" s="4">
        <v>23</v>
      </c>
      <c r="E4" s="5">
        <v>25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</row>
    <row r="5" spans="1:20" x14ac:dyDescent="0.35">
      <c r="A5" s="2">
        <f>A4+1</f>
        <v>2</v>
      </c>
      <c r="B5" s="7">
        <v>12</v>
      </c>
      <c r="C5" s="2">
        <v>18</v>
      </c>
      <c r="D5" s="2">
        <v>24</v>
      </c>
      <c r="E5" s="20">
        <v>29</v>
      </c>
      <c r="G5" t="str">
        <f>A3</f>
        <v>Subject</v>
      </c>
      <c r="H5" t="str">
        <f>B3</f>
        <v>Before</v>
      </c>
      <c r="I5" t="str">
        <f>C3</f>
        <v>1 week</v>
      </c>
      <c r="J5" t="str">
        <f>D3</f>
        <v>2 weeks</v>
      </c>
      <c r="K5" t="str">
        <f>E3</f>
        <v>3 weeks</v>
      </c>
      <c r="L5" s="2" t="s">
        <v>19</v>
      </c>
      <c r="N5" t="s">
        <v>20</v>
      </c>
      <c r="O5">
        <f>(P6+1)*DEVSQ(L6:L20)</f>
        <v>1938.4333333333334</v>
      </c>
      <c r="P5">
        <f>COUNT(H6:H20)-1</f>
        <v>14</v>
      </c>
      <c r="Q5">
        <f>O5/P5</f>
        <v>138.4595238095238</v>
      </c>
      <c r="R5">
        <f>Q5/Q7</f>
        <v>14.520099875156061</v>
      </c>
      <c r="S5">
        <f>FDIST(R5,P5,P7)</f>
        <v>8.1670607503918935E-12</v>
      </c>
      <c r="T5">
        <f>O5/(O5+O7)</f>
        <v>0.82876809941853835</v>
      </c>
    </row>
    <row r="6" spans="1:20" x14ac:dyDescent="0.35">
      <c r="A6" s="2">
        <f t="shared" ref="A6:A18" si="0">A5+1</f>
        <v>3</v>
      </c>
      <c r="B6" s="7">
        <v>23</v>
      </c>
      <c r="C6" s="2">
        <v>24</v>
      </c>
      <c r="D6" s="2">
        <v>26</v>
      </c>
      <c r="E6" s="20">
        <v>27</v>
      </c>
      <c r="G6">
        <f t="shared" ref="G6:K20" si="1">A4</f>
        <v>1</v>
      </c>
      <c r="H6" s="10">
        <f t="shared" si="1"/>
        <v>16</v>
      </c>
      <c r="I6" s="11">
        <f t="shared" si="1"/>
        <v>22</v>
      </c>
      <c r="J6" s="11">
        <f t="shared" si="1"/>
        <v>23</v>
      </c>
      <c r="K6" s="12">
        <f t="shared" si="1"/>
        <v>25</v>
      </c>
      <c r="L6">
        <f>AVERAGE(H6:K6)</f>
        <v>21.5</v>
      </c>
      <c r="N6" t="s">
        <v>32</v>
      </c>
      <c r="O6">
        <f>(P5+1)*DEVSQ(H21:K21)</f>
        <v>833.25000000000023</v>
      </c>
      <c r="P6">
        <f>COUNT(H6:K6)-1</f>
        <v>3</v>
      </c>
      <c r="Q6">
        <f>O6/P6</f>
        <v>277.75000000000006</v>
      </c>
      <c r="R6">
        <f>Q6/Q7</f>
        <v>29.127340823970059</v>
      </c>
      <c r="S6">
        <f>FDIST(R6,P6,P7)</f>
        <v>2.3962181631669464E-10</v>
      </c>
      <c r="T6">
        <f>O6/(O6+O7)</f>
        <v>0.67537993920972661</v>
      </c>
    </row>
    <row r="7" spans="1:20" x14ac:dyDescent="0.35">
      <c r="A7" s="2">
        <f t="shared" si="0"/>
        <v>4</v>
      </c>
      <c r="B7" s="7">
        <v>8</v>
      </c>
      <c r="C7" s="2">
        <v>20</v>
      </c>
      <c r="D7" s="2">
        <v>28</v>
      </c>
      <c r="E7" s="20">
        <v>30</v>
      </c>
      <c r="G7">
        <f t="shared" si="1"/>
        <v>2</v>
      </c>
      <c r="H7" s="13">
        <f t="shared" si="1"/>
        <v>12</v>
      </c>
      <c r="I7">
        <f t="shared" si="1"/>
        <v>18</v>
      </c>
      <c r="J7">
        <f t="shared" si="1"/>
        <v>24</v>
      </c>
      <c r="K7" s="14">
        <f t="shared" si="1"/>
        <v>29</v>
      </c>
      <c r="L7">
        <f t="shared" ref="L7:L20" si="2">AVERAGE(H7:K7)</f>
        <v>20.75</v>
      </c>
      <c r="N7" t="s">
        <v>35</v>
      </c>
      <c r="O7">
        <f>O8-O5-O6</f>
        <v>400.49999999999977</v>
      </c>
      <c r="P7">
        <f>P8-P5-P6</f>
        <v>42</v>
      </c>
      <c r="Q7">
        <f>O7/P7</f>
        <v>9.5357142857142811</v>
      </c>
    </row>
    <row r="8" spans="1:20" x14ac:dyDescent="0.35">
      <c r="A8" s="2">
        <f t="shared" si="0"/>
        <v>5</v>
      </c>
      <c r="B8" s="7">
        <v>3</v>
      </c>
      <c r="C8" s="2">
        <v>12</v>
      </c>
      <c r="D8" s="2">
        <v>13</v>
      </c>
      <c r="E8" s="20">
        <v>17</v>
      </c>
      <c r="G8">
        <f t="shared" si="1"/>
        <v>3</v>
      </c>
      <c r="H8" s="13">
        <f t="shared" si="1"/>
        <v>23</v>
      </c>
      <c r="I8">
        <f t="shared" si="1"/>
        <v>24</v>
      </c>
      <c r="J8">
        <f t="shared" si="1"/>
        <v>26</v>
      </c>
      <c r="K8" s="14">
        <f t="shared" si="1"/>
        <v>27</v>
      </c>
      <c r="L8">
        <f t="shared" si="2"/>
        <v>25</v>
      </c>
      <c r="N8" t="s">
        <v>38</v>
      </c>
      <c r="O8">
        <f>DEVSQ(H6:K20)</f>
        <v>3172.1833333333334</v>
      </c>
      <c r="P8">
        <f>(P5+1)*(P6+1)-1</f>
        <v>59</v>
      </c>
    </row>
    <row r="9" spans="1:20" x14ac:dyDescent="0.35">
      <c r="A9" s="2">
        <f t="shared" si="0"/>
        <v>6</v>
      </c>
      <c r="B9" s="7">
        <v>5</v>
      </c>
      <c r="C9" s="2">
        <v>13</v>
      </c>
      <c r="D9" s="2">
        <v>11</v>
      </c>
      <c r="E9" s="20">
        <v>15</v>
      </c>
      <c r="G9">
        <f t="shared" si="1"/>
        <v>4</v>
      </c>
      <c r="H9" s="13">
        <f t="shared" si="1"/>
        <v>8</v>
      </c>
      <c r="I9">
        <f t="shared" si="1"/>
        <v>20</v>
      </c>
      <c r="J9">
        <f t="shared" si="1"/>
        <v>28</v>
      </c>
      <c r="K9" s="14">
        <f t="shared" si="1"/>
        <v>30</v>
      </c>
      <c r="L9">
        <f t="shared" si="2"/>
        <v>21.5</v>
      </c>
      <c r="N9" s="25"/>
      <c r="O9" s="25"/>
      <c r="P9" s="25"/>
      <c r="Q9" s="25"/>
      <c r="R9" s="25"/>
      <c r="S9" s="25"/>
      <c r="T9" s="25"/>
    </row>
    <row r="10" spans="1:20" ht="15" thickBot="1" x14ac:dyDescent="0.4">
      <c r="A10" s="2">
        <f t="shared" si="0"/>
        <v>7</v>
      </c>
      <c r="B10" s="7">
        <v>19</v>
      </c>
      <c r="C10" s="2">
        <v>22</v>
      </c>
      <c r="D10" s="2">
        <v>25</v>
      </c>
      <c r="E10" s="20">
        <v>26</v>
      </c>
      <c r="G10">
        <f t="shared" si="1"/>
        <v>5</v>
      </c>
      <c r="H10" s="13">
        <f t="shared" si="1"/>
        <v>3</v>
      </c>
      <c r="I10">
        <f t="shared" si="1"/>
        <v>12</v>
      </c>
      <c r="J10">
        <f t="shared" si="1"/>
        <v>13</v>
      </c>
      <c r="K10" s="14">
        <f t="shared" si="1"/>
        <v>17</v>
      </c>
      <c r="L10">
        <f t="shared" si="2"/>
        <v>11.25</v>
      </c>
      <c r="N10" t="s">
        <v>43</v>
      </c>
      <c r="R10" t="s">
        <v>8</v>
      </c>
      <c r="S10">
        <v>0.05</v>
      </c>
    </row>
    <row r="11" spans="1:20" ht="15" thickTop="1" x14ac:dyDescent="0.35">
      <c r="A11" s="2">
        <f t="shared" si="0"/>
        <v>8</v>
      </c>
      <c r="B11" s="7">
        <v>22</v>
      </c>
      <c r="C11" s="2">
        <v>22</v>
      </c>
      <c r="D11" s="2">
        <v>23</v>
      </c>
      <c r="E11" s="20">
        <v>26</v>
      </c>
      <c r="G11">
        <f t="shared" si="1"/>
        <v>6</v>
      </c>
      <c r="H11" s="13">
        <f t="shared" si="1"/>
        <v>5</v>
      </c>
      <c r="I11">
        <f t="shared" si="1"/>
        <v>13</v>
      </c>
      <c r="J11">
        <f t="shared" si="1"/>
        <v>11</v>
      </c>
      <c r="K11" s="14">
        <f t="shared" si="1"/>
        <v>15</v>
      </c>
      <c r="L11">
        <f t="shared" si="2"/>
        <v>11</v>
      </c>
      <c r="N11" s="6" t="s">
        <v>12</v>
      </c>
      <c r="O11" s="6" t="s">
        <v>13</v>
      </c>
      <c r="P11" s="6" t="s">
        <v>14</v>
      </c>
      <c r="Q11" s="6" t="s">
        <v>15</v>
      </c>
      <c r="R11" s="6" t="s">
        <v>16</v>
      </c>
      <c r="S11" s="6" t="s">
        <v>17</v>
      </c>
      <c r="T11" s="6" t="s">
        <v>18</v>
      </c>
    </row>
    <row r="12" spans="1:20" x14ac:dyDescent="0.35">
      <c r="A12" s="2">
        <f t="shared" si="0"/>
        <v>9</v>
      </c>
      <c r="B12" s="7">
        <v>12</v>
      </c>
      <c r="C12" s="2">
        <v>20</v>
      </c>
      <c r="D12" s="2">
        <v>22</v>
      </c>
      <c r="E12" s="20">
        <v>24</v>
      </c>
      <c r="G12">
        <f t="shared" si="1"/>
        <v>7</v>
      </c>
      <c r="H12" s="13">
        <f t="shared" si="1"/>
        <v>19</v>
      </c>
      <c r="I12">
        <f t="shared" si="1"/>
        <v>22</v>
      </c>
      <c r="J12">
        <f t="shared" si="1"/>
        <v>25</v>
      </c>
      <c r="K12" s="14">
        <f t="shared" si="1"/>
        <v>26</v>
      </c>
      <c r="L12">
        <f t="shared" si="2"/>
        <v>23</v>
      </c>
      <c r="N12" t="s">
        <v>32</v>
      </c>
      <c r="O12">
        <f>O6</f>
        <v>833.25000000000023</v>
      </c>
      <c r="P12">
        <f>P6*H24</f>
        <v>1.4797473731988162</v>
      </c>
      <c r="Q12">
        <f>O12/P12</f>
        <v>563.10287491758652</v>
      </c>
      <c r="R12">
        <f>Q12/Q13</f>
        <v>29.127340823970059</v>
      </c>
      <c r="S12">
        <f>[1]!F_DIST_RT(R12,P12,P13)</f>
        <v>4.1423136162288543E-6</v>
      </c>
      <c r="T12">
        <f>O12/(O12+O13)</f>
        <v>0.67537993920972661</v>
      </c>
    </row>
    <row r="13" spans="1:20" x14ac:dyDescent="0.35">
      <c r="A13" s="2">
        <f t="shared" si="0"/>
        <v>10</v>
      </c>
      <c r="B13" s="7">
        <v>16</v>
      </c>
      <c r="C13" s="2">
        <v>22</v>
      </c>
      <c r="D13" s="2">
        <v>26</v>
      </c>
      <c r="E13" s="20">
        <v>29</v>
      </c>
      <c r="G13">
        <f t="shared" si="1"/>
        <v>8</v>
      </c>
      <c r="H13" s="13">
        <f t="shared" si="1"/>
        <v>22</v>
      </c>
      <c r="I13">
        <f t="shared" si="1"/>
        <v>22</v>
      </c>
      <c r="J13">
        <f t="shared" si="1"/>
        <v>23</v>
      </c>
      <c r="K13" s="14">
        <f t="shared" si="1"/>
        <v>26</v>
      </c>
      <c r="L13">
        <f t="shared" si="2"/>
        <v>23.25</v>
      </c>
      <c r="N13" t="s">
        <v>35</v>
      </c>
      <c r="O13">
        <f>O7</f>
        <v>400.49999999999977</v>
      </c>
      <c r="P13">
        <f>P7*H24</f>
        <v>20.716463224783425</v>
      </c>
      <c r="Q13">
        <f>O13/P13</f>
        <v>19.332450508293107</v>
      </c>
    </row>
    <row r="14" spans="1:20" x14ac:dyDescent="0.35">
      <c r="A14" s="2">
        <f t="shared" si="0"/>
        <v>11</v>
      </c>
      <c r="B14" s="7">
        <v>14</v>
      </c>
      <c r="C14" s="2">
        <v>25</v>
      </c>
      <c r="D14" s="2">
        <v>18</v>
      </c>
      <c r="E14" s="20">
        <v>21</v>
      </c>
      <c r="G14">
        <f t="shared" si="1"/>
        <v>9</v>
      </c>
      <c r="H14" s="13">
        <f t="shared" si="1"/>
        <v>12</v>
      </c>
      <c r="I14">
        <f t="shared" si="1"/>
        <v>20</v>
      </c>
      <c r="J14">
        <f t="shared" si="1"/>
        <v>22</v>
      </c>
      <c r="K14" s="14">
        <f t="shared" si="1"/>
        <v>24</v>
      </c>
      <c r="L14">
        <f t="shared" si="2"/>
        <v>19.5</v>
      </c>
      <c r="N14" s="25"/>
      <c r="O14" s="25"/>
      <c r="P14" s="25"/>
      <c r="Q14" s="25"/>
      <c r="R14" s="25"/>
      <c r="S14" s="25"/>
      <c r="T14" s="25"/>
    </row>
    <row r="15" spans="1:20" ht="15" thickBot="1" x14ac:dyDescent="0.4">
      <c r="A15" s="2">
        <f t="shared" si="0"/>
        <v>12</v>
      </c>
      <c r="B15" s="7">
        <v>24</v>
      </c>
      <c r="C15" s="2">
        <v>26</v>
      </c>
      <c r="D15" s="2">
        <v>21</v>
      </c>
      <c r="E15" s="20">
        <v>23</v>
      </c>
      <c r="G15">
        <f t="shared" si="1"/>
        <v>10</v>
      </c>
      <c r="H15" s="13">
        <f t="shared" si="1"/>
        <v>16</v>
      </c>
      <c r="I15">
        <f t="shared" si="1"/>
        <v>22</v>
      </c>
      <c r="J15">
        <f t="shared" si="1"/>
        <v>26</v>
      </c>
      <c r="K15" s="14">
        <f t="shared" si="1"/>
        <v>29</v>
      </c>
      <c r="L15">
        <f t="shared" si="2"/>
        <v>23.25</v>
      </c>
      <c r="N15" t="s">
        <v>52</v>
      </c>
      <c r="R15" t="s">
        <v>8</v>
      </c>
      <c r="S15">
        <v>0.05</v>
      </c>
    </row>
    <row r="16" spans="1:20" ht="15" thickTop="1" x14ac:dyDescent="0.35">
      <c r="A16" s="2">
        <f t="shared" si="0"/>
        <v>13</v>
      </c>
      <c r="B16" s="7">
        <v>9</v>
      </c>
      <c r="C16" s="2">
        <v>12</v>
      </c>
      <c r="D16" s="2">
        <v>20</v>
      </c>
      <c r="E16" s="20">
        <v>23</v>
      </c>
      <c r="G16">
        <f t="shared" si="1"/>
        <v>11</v>
      </c>
      <c r="H16" s="13">
        <f t="shared" si="1"/>
        <v>14</v>
      </c>
      <c r="I16">
        <f t="shared" si="1"/>
        <v>25</v>
      </c>
      <c r="J16">
        <f t="shared" si="1"/>
        <v>18</v>
      </c>
      <c r="K16" s="14">
        <f t="shared" si="1"/>
        <v>21</v>
      </c>
      <c r="L16">
        <f t="shared" si="2"/>
        <v>19.5</v>
      </c>
      <c r="N16" s="6" t="s">
        <v>12</v>
      </c>
      <c r="O16" s="6" t="s">
        <v>13</v>
      </c>
      <c r="P16" s="6" t="s">
        <v>14</v>
      </c>
      <c r="Q16" s="6" t="s">
        <v>15</v>
      </c>
      <c r="R16" s="6" t="s">
        <v>16</v>
      </c>
      <c r="S16" s="6" t="s">
        <v>17</v>
      </c>
      <c r="T16" s="6" t="s">
        <v>18</v>
      </c>
    </row>
    <row r="17" spans="1:20" x14ac:dyDescent="0.35">
      <c r="A17" s="2">
        <f t="shared" si="0"/>
        <v>14</v>
      </c>
      <c r="B17" s="7">
        <v>3</v>
      </c>
      <c r="C17" s="2">
        <v>9</v>
      </c>
      <c r="D17" s="2">
        <v>13</v>
      </c>
      <c r="E17" s="20">
        <v>16</v>
      </c>
      <c r="G17">
        <f t="shared" si="1"/>
        <v>12</v>
      </c>
      <c r="H17" s="13">
        <f t="shared" si="1"/>
        <v>24</v>
      </c>
      <c r="I17">
        <f t="shared" si="1"/>
        <v>26</v>
      </c>
      <c r="J17">
        <f t="shared" si="1"/>
        <v>21</v>
      </c>
      <c r="K17" s="14">
        <f t="shared" si="1"/>
        <v>23</v>
      </c>
      <c r="L17">
        <f t="shared" si="2"/>
        <v>23.5</v>
      </c>
      <c r="N17" t="s">
        <v>32</v>
      </c>
      <c r="O17">
        <f>O6</f>
        <v>833.25000000000023</v>
      </c>
      <c r="P17">
        <f>P6*H25</f>
        <v>1.613083313890145</v>
      </c>
      <c r="Q17">
        <f>O17/P17</f>
        <v>516.55732399247086</v>
      </c>
      <c r="R17">
        <f>Q17/Q18</f>
        <v>29.127340823970059</v>
      </c>
      <c r="S17">
        <f>[1]!F_DIST_RT(R17,P17,P18)</f>
        <v>1.7478709514184843E-6</v>
      </c>
      <c r="T17">
        <f>O17/(O17+O18)</f>
        <v>0.67537993920972661</v>
      </c>
    </row>
    <row r="18" spans="1:20" x14ac:dyDescent="0.35">
      <c r="A18" s="2">
        <f t="shared" si="0"/>
        <v>15</v>
      </c>
      <c r="B18" s="35">
        <v>2</v>
      </c>
      <c r="C18" s="36">
        <v>8</v>
      </c>
      <c r="D18" s="36">
        <v>6</v>
      </c>
      <c r="E18" s="37">
        <v>10</v>
      </c>
      <c r="G18">
        <f t="shared" si="1"/>
        <v>13</v>
      </c>
      <c r="H18" s="13">
        <f t="shared" si="1"/>
        <v>9</v>
      </c>
      <c r="I18">
        <f t="shared" si="1"/>
        <v>12</v>
      </c>
      <c r="J18">
        <f t="shared" si="1"/>
        <v>20</v>
      </c>
      <c r="K18" s="14">
        <f t="shared" si="1"/>
        <v>23</v>
      </c>
      <c r="L18">
        <f t="shared" si="2"/>
        <v>16</v>
      </c>
      <c r="N18" t="s">
        <v>35</v>
      </c>
      <c r="O18">
        <f>O7</f>
        <v>400.49999999999977</v>
      </c>
      <c r="P18">
        <f>P7*H25</f>
        <v>22.58316639446203</v>
      </c>
      <c r="Q18">
        <f>O18/P18</f>
        <v>17.734448438471084</v>
      </c>
    </row>
    <row r="19" spans="1:20" x14ac:dyDescent="0.35">
      <c r="G19">
        <f t="shared" si="1"/>
        <v>14</v>
      </c>
      <c r="H19" s="13">
        <f t="shared" si="1"/>
        <v>3</v>
      </c>
      <c r="I19">
        <f t="shared" si="1"/>
        <v>9</v>
      </c>
      <c r="J19">
        <f t="shared" si="1"/>
        <v>13</v>
      </c>
      <c r="K19" s="14">
        <f t="shared" si="1"/>
        <v>16</v>
      </c>
      <c r="L19">
        <f t="shared" si="2"/>
        <v>10.25</v>
      </c>
      <c r="N19" s="25"/>
      <c r="O19" s="25"/>
      <c r="P19" s="25"/>
      <c r="Q19" s="25"/>
      <c r="R19" s="25"/>
      <c r="S19" s="25"/>
      <c r="T19" s="25"/>
    </row>
    <row r="20" spans="1:20" x14ac:dyDescent="0.35">
      <c r="G20">
        <f t="shared" si="1"/>
        <v>15</v>
      </c>
      <c r="H20" s="15">
        <f t="shared" si="1"/>
        <v>2</v>
      </c>
      <c r="I20" s="16">
        <f t="shared" si="1"/>
        <v>8</v>
      </c>
      <c r="J20" s="16">
        <f t="shared" si="1"/>
        <v>6</v>
      </c>
      <c r="K20" s="17">
        <f t="shared" si="1"/>
        <v>10</v>
      </c>
      <c r="L20">
        <f t="shared" si="2"/>
        <v>6.5</v>
      </c>
    </row>
    <row r="21" spans="1:20" x14ac:dyDescent="0.35">
      <c r="G21" t="s">
        <v>19</v>
      </c>
      <c r="H21">
        <f>AVERAGE(H6:H20)</f>
        <v>12.533333333333333</v>
      </c>
      <c r="I21">
        <f>AVERAGE(I6:I20)</f>
        <v>18.333333333333332</v>
      </c>
      <c r="J21">
        <f>AVERAGE(J6:J20)</f>
        <v>19.933333333333334</v>
      </c>
      <c r="K21">
        <f>AVERAGE(K6:K20)</f>
        <v>22.733333333333334</v>
      </c>
      <c r="L21">
        <f>AVERAGE(L6:L20)</f>
        <v>18.383333333333333</v>
      </c>
    </row>
    <row r="22" spans="1:20" x14ac:dyDescent="0.35">
      <c r="G22" t="s">
        <v>66</v>
      </c>
      <c r="H22">
        <f>VAR(H6:H20)</f>
        <v>55.838095238095221</v>
      </c>
      <c r="I22">
        <f>VAR(I6:I20)</f>
        <v>35.523809523809504</v>
      </c>
      <c r="J22">
        <f>VAR(J6:J20)</f>
        <v>41.352380952380955</v>
      </c>
      <c r="K22">
        <f>VAR(K6:K20)</f>
        <v>34.352380952380955</v>
      </c>
      <c r="L22">
        <f>VAR(L6:L20)</f>
        <v>34.614880952380972</v>
      </c>
    </row>
    <row r="24" spans="1:20" x14ac:dyDescent="0.35">
      <c r="G24" t="s">
        <v>82</v>
      </c>
      <c r="H24" s="49">
        <f>[1]!GGEpsilon(H6:K20)</f>
        <v>0.49324912439960539</v>
      </c>
    </row>
    <row r="25" spans="1:20" x14ac:dyDescent="0.35">
      <c r="G25" t="s">
        <v>83</v>
      </c>
      <c r="H25" s="50">
        <f>[1]!HFEpsilon(H6:K20)</f>
        <v>0.53769443796338168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79F5-159A-4CFF-8064-FB92BDA2E55A}">
  <sheetPr codeName="Sheet4"/>
  <dimension ref="A1:L25"/>
  <sheetViews>
    <sheetView topLeftCell="A7" workbookViewId="0">
      <selection activeCell="K14" sqref="K14:K15"/>
    </sheetView>
  </sheetViews>
  <sheetFormatPr defaultRowHeight="14.5" x14ac:dyDescent="0.35"/>
  <cols>
    <col min="1" max="3" width="8.81640625" bestFit="1" customWidth="1"/>
    <col min="4" max="4" width="8.7265625" customWidth="1"/>
    <col min="9" max="9" width="25" customWidth="1"/>
    <col min="11" max="11" width="10.453125" customWidth="1"/>
  </cols>
  <sheetData>
    <row r="1" spans="1:12" x14ac:dyDescent="0.35">
      <c r="A1" s="1" t="s">
        <v>84</v>
      </c>
      <c r="K1" t="s">
        <v>85</v>
      </c>
    </row>
    <row r="3" spans="1:12" x14ac:dyDescent="0.35">
      <c r="A3" t="s">
        <v>86</v>
      </c>
      <c r="K3" t="s">
        <v>87</v>
      </c>
      <c r="L3" s="45">
        <f t="array" ref="L3">[1]!GGEpsilon('Sphericity 1'!B4:E18)</f>
        <v>0.49324912439960539</v>
      </c>
    </row>
    <row r="5" spans="1:12" x14ac:dyDescent="0.35">
      <c r="A5" s="24">
        <f t="array" ref="A5:D8">[1]!COV('Sphericity 1'!B4:E18)</f>
        <v>55.838095238095235</v>
      </c>
      <c r="B5" s="25">
        <v>39.523809523809518</v>
      </c>
      <c r="C5" s="25">
        <v>33.752380952380946</v>
      </c>
      <c r="D5" s="26">
        <v>28.580952380952379</v>
      </c>
      <c r="E5">
        <f>AVERAGE(A5:D5)</f>
        <v>39.423809523809517</v>
      </c>
    </row>
    <row r="6" spans="1:12" x14ac:dyDescent="0.35">
      <c r="A6" s="51">
        <v>39.523809523809518</v>
      </c>
      <c r="B6">
        <v>35.523809523809518</v>
      </c>
      <c r="C6">
        <v>29.166666666666668</v>
      </c>
      <c r="D6" s="31">
        <v>25.166666666666668</v>
      </c>
      <c r="E6">
        <f>AVERAGE(A6:D6)</f>
        <v>32.345238095238095</v>
      </c>
    </row>
    <row r="7" spans="1:12" x14ac:dyDescent="0.35">
      <c r="A7" s="51">
        <v>33.752380952380946</v>
      </c>
      <c r="B7">
        <v>29.166666666666668</v>
      </c>
      <c r="C7">
        <v>41.352380952380955</v>
      </c>
      <c r="D7" s="31">
        <v>37.195238095238096</v>
      </c>
      <c r="E7">
        <f>AVERAGE(A7:D7)</f>
        <v>35.366666666666667</v>
      </c>
    </row>
    <row r="8" spans="1:12" x14ac:dyDescent="0.35">
      <c r="A8" s="52">
        <v>28.580952380952379</v>
      </c>
      <c r="B8" s="53">
        <v>25.166666666666668</v>
      </c>
      <c r="C8" s="53">
        <v>37.195238095238096</v>
      </c>
      <c r="D8" s="54">
        <v>34.352380952380955</v>
      </c>
      <c r="E8">
        <f>AVERAGE(A8:D8)</f>
        <v>31.323809523809526</v>
      </c>
    </row>
    <row r="9" spans="1:12" x14ac:dyDescent="0.35">
      <c r="A9">
        <f>AVERAGE(A5:A8)</f>
        <v>39.423809523809517</v>
      </c>
      <c r="B9">
        <f>AVERAGE(B5:B8)</f>
        <v>32.345238095238095</v>
      </c>
      <c r="C9">
        <f>AVERAGE(C5:C8)</f>
        <v>35.366666666666667</v>
      </c>
      <c r="D9">
        <f>AVERAGE(D5:D8)</f>
        <v>31.323809523809526</v>
      </c>
      <c r="E9">
        <f>AVERAGE(E5:E8)</f>
        <v>34.61488095238095</v>
      </c>
    </row>
    <row r="11" spans="1:12" x14ac:dyDescent="0.35">
      <c r="A11" t="s">
        <v>88</v>
      </c>
    </row>
    <row r="13" spans="1:12" x14ac:dyDescent="0.35">
      <c r="A13">
        <v>1</v>
      </c>
      <c r="B13">
        <f>A13+1</f>
        <v>2</v>
      </c>
      <c r="C13">
        <f>B13+1</f>
        <v>3</v>
      </c>
      <c r="D13">
        <f>C13+1</f>
        <v>4</v>
      </c>
    </row>
    <row r="14" spans="1:12" x14ac:dyDescent="0.35">
      <c r="A14" s="24">
        <f>A5-$E5-A$9+$E$9</f>
        <v>11.605357142857152</v>
      </c>
      <c r="B14" s="25">
        <f t="shared" ref="B14:D15" si="0">B5-$E5-B$9+$E$9</f>
        <v>2.3696428571428569</v>
      </c>
      <c r="C14" s="25">
        <f t="shared" si="0"/>
        <v>-6.4232142857142875</v>
      </c>
      <c r="D14" s="26">
        <f t="shared" si="0"/>
        <v>-7.5517857142857139</v>
      </c>
      <c r="F14" t="s">
        <v>69</v>
      </c>
      <c r="G14" s="34">
        <f>D13</f>
        <v>4</v>
      </c>
      <c r="I14" s="19" t="s">
        <v>89</v>
      </c>
    </row>
    <row r="15" spans="1:12" x14ac:dyDescent="0.35">
      <c r="A15" s="51">
        <f>A6-$E6-A$9+$E$9</f>
        <v>2.3696428571428569</v>
      </c>
      <c r="B15">
        <f t="shared" si="0"/>
        <v>5.448214285714279</v>
      </c>
      <c r="C15">
        <f t="shared" si="0"/>
        <v>-3.9303571428571402</v>
      </c>
      <c r="D15" s="31">
        <f t="shared" si="0"/>
        <v>-3.8875000000000028</v>
      </c>
      <c r="F15" t="s">
        <v>90</v>
      </c>
      <c r="G15" s="27">
        <f>SUM(A18:D18)^2</f>
        <v>818.36862244897941</v>
      </c>
      <c r="I15" s="19" t="s">
        <v>91</v>
      </c>
    </row>
    <row r="16" spans="1:12" x14ac:dyDescent="0.35">
      <c r="A16" s="51">
        <f t="shared" ref="A16:D17" si="1">A7-$E7-A$9+$E$9</f>
        <v>-6.4232142857142875</v>
      </c>
      <c r="B16">
        <f t="shared" si="1"/>
        <v>-3.9303571428571402</v>
      </c>
      <c r="C16">
        <f t="shared" si="1"/>
        <v>5.2339285714285708</v>
      </c>
      <c r="D16" s="31">
        <f t="shared" si="1"/>
        <v>5.1196428571428534</v>
      </c>
      <c r="F16" t="s">
        <v>92</v>
      </c>
      <c r="G16" s="27">
        <f>(G14-1)*SUMSQ(A14:D17)</f>
        <v>1659.1385204081635</v>
      </c>
      <c r="I16" s="19" t="s">
        <v>93</v>
      </c>
    </row>
    <row r="17" spans="1:9" x14ac:dyDescent="0.35">
      <c r="A17" s="52">
        <f t="shared" si="1"/>
        <v>-7.5517857142857139</v>
      </c>
      <c r="B17" s="53">
        <f t="shared" si="1"/>
        <v>-3.8875000000000028</v>
      </c>
      <c r="C17" s="53">
        <f t="shared" si="1"/>
        <v>5.1196428571428534</v>
      </c>
      <c r="D17" s="54">
        <f t="shared" si="1"/>
        <v>6.3196428571428527</v>
      </c>
      <c r="F17" t="s">
        <v>94</v>
      </c>
      <c r="G17" s="38">
        <f>G15/G16</f>
        <v>0.49324912439960295</v>
      </c>
      <c r="I17" s="19" t="s">
        <v>95</v>
      </c>
    </row>
    <row r="18" spans="1:9" x14ac:dyDescent="0.35">
      <c r="A18">
        <f>INDEX(A14:A17,A13)</f>
        <v>11.605357142857152</v>
      </c>
      <c r="B18">
        <f>INDEX(B14:B17,B13)</f>
        <v>5.448214285714279</v>
      </c>
      <c r="C18">
        <f>INDEX(C14:C17,C13)</f>
        <v>5.2339285714285708</v>
      </c>
      <c r="D18">
        <f>INDEX(D14:D17,D13)</f>
        <v>6.3196428571428527</v>
      </c>
      <c r="E18" t="s">
        <v>96</v>
      </c>
    </row>
    <row r="20" spans="1:9" x14ac:dyDescent="0.35">
      <c r="A20" t="s">
        <v>97</v>
      </c>
    </row>
    <row r="22" spans="1:9" x14ac:dyDescent="0.35">
      <c r="A22" s="55">
        <f t="array" ref="A22:D22">[1]!eVALUES(A14:D17,,TRUE)</f>
        <v>22.95896533271069</v>
      </c>
      <c r="B22" s="56">
        <v>5.0580459738728418</v>
      </c>
      <c r="C22" s="56">
        <v>0.59013155055933564</v>
      </c>
      <c r="D22" s="57">
        <v>-3.2512941123793237E-15</v>
      </c>
      <c r="F22" t="s">
        <v>69</v>
      </c>
      <c r="G22" s="34">
        <f>D13</f>
        <v>4</v>
      </c>
      <c r="I22" s="19" t="s">
        <v>89</v>
      </c>
    </row>
    <row r="23" spans="1:9" x14ac:dyDescent="0.35">
      <c r="F23" t="s">
        <v>90</v>
      </c>
      <c r="G23" s="27">
        <f>SUM(A22:D22)^2</f>
        <v>818.36862244897998</v>
      </c>
      <c r="I23" s="19" t="s">
        <v>98</v>
      </c>
    </row>
    <row r="24" spans="1:9" x14ac:dyDescent="0.35">
      <c r="F24" t="s">
        <v>92</v>
      </c>
      <c r="G24" s="27">
        <f>(G22-1)*SUMSQ(A22:D22)</f>
        <v>1659.1385204081639</v>
      </c>
      <c r="I24" s="19" t="s">
        <v>99</v>
      </c>
    </row>
    <row r="25" spans="1:9" x14ac:dyDescent="0.35">
      <c r="F25" t="s">
        <v>94</v>
      </c>
      <c r="G25" s="38">
        <f>G23/G24</f>
        <v>0.49324912439960317</v>
      </c>
      <c r="I25" s="19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DB44-80A0-49F9-BAE7-F1CC17A70B3F}">
  <sheetPr codeName="Sheet5"/>
  <dimension ref="A1:E24"/>
  <sheetViews>
    <sheetView topLeftCell="A4" workbookViewId="0">
      <selection activeCell="O16" sqref="O16"/>
    </sheetView>
  </sheetViews>
  <sheetFormatPr defaultRowHeight="14.5" x14ac:dyDescent="0.35"/>
  <cols>
    <col min="1" max="1" width="12" customWidth="1"/>
    <col min="2" max="3" width="8.81640625" bestFit="1" customWidth="1"/>
    <col min="4" max="4" width="9.1796875" customWidth="1"/>
    <col min="5" max="5" width="8.7265625" customWidth="1"/>
  </cols>
  <sheetData>
    <row r="1" spans="1:5" x14ac:dyDescent="0.35">
      <c r="A1" s="1" t="s">
        <v>101</v>
      </c>
    </row>
    <row r="3" spans="1:5" x14ac:dyDescent="0.35">
      <c r="A3" t="s">
        <v>102</v>
      </c>
      <c r="B3" s="55">
        <f t="array" ref="B3:E3">[1]!eVALUES('GG Calc'!A14:D17,,TRUE)</f>
        <v>22.95896533271069</v>
      </c>
      <c r="C3" s="56">
        <v>5.0580459738728418</v>
      </c>
      <c r="D3" s="56">
        <v>0.59013155055933564</v>
      </c>
      <c r="E3" s="57">
        <v>-3.2512941123793237E-15</v>
      </c>
    </row>
    <row r="5" spans="1:5" x14ac:dyDescent="0.35">
      <c r="A5" t="s">
        <v>69</v>
      </c>
      <c r="B5" s="34">
        <f>'Sphericity 1'!H26</f>
        <v>4</v>
      </c>
    </row>
    <row r="6" spans="1:5" x14ac:dyDescent="0.35">
      <c r="A6" t="s">
        <v>67</v>
      </c>
      <c r="B6" s="27">
        <f>'Sphericity 1'!H25</f>
        <v>15</v>
      </c>
    </row>
    <row r="7" spans="1:5" x14ac:dyDescent="0.35">
      <c r="A7" t="s">
        <v>103</v>
      </c>
      <c r="B7" s="27">
        <f>PRODUCT(B3:D3)/(SUM(B3:D3)/(B5-1))^(B5-1)</f>
        <v>7.9035868296389158E-2</v>
      </c>
    </row>
    <row r="8" spans="1:5" x14ac:dyDescent="0.35">
      <c r="A8" t="s">
        <v>104</v>
      </c>
      <c r="B8" s="27">
        <f>(2*(B5-1)^2+B5+1)/(6*(B5-1)*(B6-1))</f>
        <v>9.1269841269841265E-2</v>
      </c>
    </row>
    <row r="9" spans="1:5" x14ac:dyDescent="0.35">
      <c r="A9" t="s">
        <v>105</v>
      </c>
      <c r="B9" s="27">
        <f>(B8-1)*(B6-1)*LN(B7)</f>
        <v>32.287136200638997</v>
      </c>
    </row>
    <row r="10" spans="1:5" x14ac:dyDescent="0.35">
      <c r="A10" t="s">
        <v>14</v>
      </c>
      <c r="B10" s="27">
        <f>B5*(B5-1)/2-1</f>
        <v>5</v>
      </c>
    </row>
    <row r="11" spans="1:5" x14ac:dyDescent="0.35">
      <c r="A11" t="s">
        <v>106</v>
      </c>
      <c r="B11" s="27">
        <f>CHIDIST(B9,B10)</f>
        <v>5.2119114965441621E-6</v>
      </c>
      <c r="D11" s="45" t="e">
        <f>[1]!MauchlyTest('Sphericity 1'!B4:E18)</f>
        <v>#VALUE!</v>
      </c>
    </row>
    <row r="12" spans="1:5" x14ac:dyDescent="0.35">
      <c r="A12" t="s">
        <v>107</v>
      </c>
      <c r="B12" s="27">
        <v>0.05</v>
      </c>
    </row>
    <row r="13" spans="1:5" x14ac:dyDescent="0.35">
      <c r="A13" t="s">
        <v>108</v>
      </c>
      <c r="B13" s="58" t="str">
        <f>IF(B11&lt;B12,"yes","no")</f>
        <v>yes</v>
      </c>
    </row>
    <row r="15" spans="1:5" x14ac:dyDescent="0.35">
      <c r="A15" s="1" t="s">
        <v>109</v>
      </c>
    </row>
    <row r="17" spans="1:4" x14ac:dyDescent="0.35">
      <c r="A17" t="s">
        <v>69</v>
      </c>
      <c r="B17" s="34">
        <f>B5</f>
        <v>4</v>
      </c>
    </row>
    <row r="18" spans="1:4" x14ac:dyDescent="0.35">
      <c r="A18" t="s">
        <v>67</v>
      </c>
      <c r="B18" s="27">
        <f>B6</f>
        <v>15</v>
      </c>
    </row>
    <row r="19" spans="1:4" x14ac:dyDescent="0.35">
      <c r="A19" t="s">
        <v>110</v>
      </c>
      <c r="B19" s="27">
        <f>'GG Calc'!G25*(B17-1)</f>
        <v>1.4797473731988096</v>
      </c>
    </row>
    <row r="20" spans="1:4" x14ac:dyDescent="0.35">
      <c r="A20" t="s">
        <v>105</v>
      </c>
      <c r="B20" s="27">
        <f>0.5*B18*(B17-1)^2*(B19-1/(B17-1))</f>
        <v>77.38294769091965</v>
      </c>
    </row>
    <row r="21" spans="1:4" x14ac:dyDescent="0.35">
      <c r="A21" t="s">
        <v>14</v>
      </c>
      <c r="B21" s="27">
        <f>B17*(B17-1)/2-1</f>
        <v>5</v>
      </c>
    </row>
    <row r="22" spans="1:4" x14ac:dyDescent="0.35">
      <c r="A22" t="s">
        <v>106</v>
      </c>
      <c r="B22" s="27">
        <f>CHIDIST(B20,B21)</f>
        <v>2.9581390316828854E-15</v>
      </c>
      <c r="D22" s="45">
        <f>[1]!JNSTest('Sphericity 1'!B4:E18)</f>
        <v>2.0403456705158064E-14</v>
      </c>
    </row>
    <row r="23" spans="1:4" x14ac:dyDescent="0.35">
      <c r="A23" t="s">
        <v>107</v>
      </c>
      <c r="B23" s="27">
        <v>0.05</v>
      </c>
    </row>
    <row r="24" spans="1:4" x14ac:dyDescent="0.35">
      <c r="A24" t="s">
        <v>108</v>
      </c>
      <c r="B24" s="58" t="str">
        <f>IF(B22&lt;B23,"yes","no")</f>
        <v>yes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Sphericity 1</vt:lpstr>
      <vt:lpstr>Sphericity 2</vt:lpstr>
      <vt:lpstr>GG Calc</vt:lpstr>
      <vt:lpstr>Mauchly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2024-07-10T07:42:28Z</dcterms:created>
  <dcterms:modified xsi:type="dcterms:W3CDTF">2024-07-10T17:49:18Z</dcterms:modified>
</cp:coreProperties>
</file>