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0" documentId="8_{9D45423C-FCB1-4EF4-AC70-DA7E11C2D588}" xr6:coauthVersionLast="47" xr6:coauthVersionMax="47" xr10:uidLastSave="{00000000-0000-0000-0000-000000000000}"/>
  <bookViews>
    <workbookView xWindow="-110" yWindow="-110" windowWidth="19420" windowHeight="10300" xr2:uid="{F73D2C18-BEC5-4C2C-824D-86B04303E689}"/>
  </bookViews>
  <sheets>
    <sheet name="Title" sheetId="5" r:id="rId1"/>
    <sheet name="SW 1" sheetId="1" r:id="rId2"/>
    <sheet name="SW 2" sheetId="2" r:id="rId3"/>
    <sheet name="SW 3" sheetId="3" r:id="rId4"/>
    <sheet name="SW 4" sheetId="4" r:id="rId5"/>
  </sheets>
  <externalReferences>
    <externalReference r:id="rId6"/>
  </externalReferences>
  <definedNames>
    <definedName name="DataRange">#REF!</definedName>
    <definedName name="DataRange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4" l="1"/>
  <c r="G23" i="4"/>
  <c r="F23" i="4"/>
  <c r="H22" i="4"/>
  <c r="G22" i="4"/>
  <c r="F22" i="4"/>
  <c r="AJ14" i="4"/>
  <c r="AJ16" i="4" s="1"/>
  <c r="R14" i="4"/>
  <c r="R16" i="4" s="1"/>
  <c r="Q14" i="4"/>
  <c r="Q16" i="4" s="1"/>
  <c r="P14" i="4"/>
  <c r="P16" i="4" s="1"/>
  <c r="AJ13" i="4"/>
  <c r="R13" i="4"/>
  <c r="Q13" i="4"/>
  <c r="P13" i="4"/>
  <c r="AJ7" i="4"/>
  <c r="AJ9" i="4" s="1"/>
  <c r="R7" i="4"/>
  <c r="Q7" i="4"/>
  <c r="Q9" i="4" s="1"/>
  <c r="P7" i="4"/>
  <c r="P9" i="4" s="1"/>
  <c r="AJ6" i="4"/>
  <c r="R6" i="4"/>
  <c r="Q6" i="4"/>
  <c r="P6" i="4"/>
  <c r="B18" i="3"/>
  <c r="B20" i="3" s="1"/>
  <c r="B17" i="3"/>
  <c r="Q14" i="3"/>
  <c r="P14" i="3"/>
  <c r="O14" i="3"/>
  <c r="N14" i="3"/>
  <c r="M14" i="3"/>
  <c r="Q13" i="3"/>
  <c r="P13" i="3"/>
  <c r="O13" i="3"/>
  <c r="N13" i="3"/>
  <c r="M13" i="3"/>
  <c r="Q12" i="3"/>
  <c r="P12" i="3"/>
  <c r="O12" i="3"/>
  <c r="N12" i="3"/>
  <c r="M12" i="3"/>
  <c r="Q11" i="3"/>
  <c r="P11" i="3"/>
  <c r="O11" i="3"/>
  <c r="N11" i="3"/>
  <c r="M11" i="3"/>
  <c r="Q10" i="3"/>
  <c r="P10" i="3"/>
  <c r="O10" i="3"/>
  <c r="N10" i="3"/>
  <c r="M10" i="3"/>
  <c r="Q9" i="3"/>
  <c r="P9" i="3"/>
  <c r="O9" i="3"/>
  <c r="N9" i="3"/>
  <c r="M9" i="3"/>
  <c r="Q8" i="3"/>
  <c r="P8" i="3"/>
  <c r="O8" i="3"/>
  <c r="N8" i="3"/>
  <c r="M8" i="3"/>
  <c r="Q7" i="3"/>
  <c r="P7" i="3"/>
  <c r="O7" i="3"/>
  <c r="N7" i="3"/>
  <c r="M7" i="3"/>
  <c r="Q6" i="3"/>
  <c r="P6" i="3"/>
  <c r="O6" i="3"/>
  <c r="N6" i="3"/>
  <c r="M6" i="3"/>
  <c r="Q5" i="3"/>
  <c r="P5" i="3"/>
  <c r="O5" i="3"/>
  <c r="N5" i="3"/>
  <c r="M5" i="3"/>
  <c r="Q4" i="3"/>
  <c r="P4" i="3"/>
  <c r="O4" i="3"/>
  <c r="N4" i="3"/>
  <c r="M4" i="3"/>
  <c r="S3" i="3" a="1"/>
  <c r="S57" i="3" s="1"/>
  <c r="Q3" i="3"/>
  <c r="P3" i="3"/>
  <c r="O3" i="3"/>
  <c r="N3" i="3"/>
  <c r="M3" i="3"/>
  <c r="G3" i="3" a="1"/>
  <c r="J12" i="3" s="1"/>
  <c r="B45" i="2"/>
  <c r="B47" i="2" s="1"/>
  <c r="D44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C27" i="2" a="1"/>
  <c r="C36" i="2" s="1"/>
  <c r="K7" i="2"/>
  <c r="R6" i="2"/>
  <c r="K6" i="2"/>
  <c r="R5" i="2"/>
  <c r="K5" i="2"/>
  <c r="G21" i="1"/>
  <c r="E21" i="1"/>
  <c r="G20" i="1"/>
  <c r="E20" i="1"/>
  <c r="M18" i="1"/>
  <c r="M20" i="1" s="1"/>
  <c r="M17" i="1"/>
  <c r="O15" i="1"/>
  <c r="O14" i="1"/>
  <c r="O13" i="1"/>
  <c r="O12" i="1"/>
  <c r="O11" i="1"/>
  <c r="O10" i="1"/>
  <c r="O9" i="1"/>
  <c r="O8" i="1"/>
  <c r="O7" i="1"/>
  <c r="O6" i="1"/>
  <c r="O5" i="1"/>
  <c r="T4" i="1" a="1"/>
  <c r="T12" i="1" s="1"/>
  <c r="O4" i="1"/>
  <c r="N4" i="1" a="1"/>
  <c r="N14" i="1" s="1"/>
  <c r="B4" i="1" a="1"/>
  <c r="B15" i="1" s="1"/>
  <c r="H21" i="4"/>
  <c r="G21" i="4"/>
  <c r="F21" i="4"/>
  <c r="H20" i="4"/>
  <c r="G20" i="4"/>
  <c r="F20" i="4"/>
  <c r="H19" i="4"/>
  <c r="G19" i="4"/>
  <c r="F19" i="4"/>
  <c r="W18" i="4"/>
  <c r="V18" i="4"/>
  <c r="U18" i="4"/>
  <c r="H18" i="4"/>
  <c r="G18" i="4"/>
  <c r="F18" i="4"/>
  <c r="H17" i="4"/>
  <c r="G17" i="4"/>
  <c r="F17" i="4"/>
  <c r="W16" i="4"/>
  <c r="V16" i="4"/>
  <c r="U16" i="4"/>
  <c r="U17" i="4" s="1" a="1"/>
  <c r="U17" i="4" s="1"/>
  <c r="U10" i="4" s="1"/>
  <c r="H16" i="4"/>
  <c r="G16" i="4"/>
  <c r="F16" i="4"/>
  <c r="W15" i="4"/>
  <c r="V15" i="4"/>
  <c r="U15" i="4"/>
  <c r="H15" i="4"/>
  <c r="G15" i="4"/>
  <c r="G14" i="4" s="1"/>
  <c r="F15" i="4"/>
  <c r="F14" i="4" s="1"/>
  <c r="W14" i="4"/>
  <c r="W17" i="4" s="1" a="1"/>
  <c r="W17" i="4" s="1"/>
  <c r="W10" i="4" s="1"/>
  <c r="V14" i="4"/>
  <c r="V17" i="4" s="1" a="1"/>
  <c r="V17" i="4" s="1"/>
  <c r="V10" i="4" s="1"/>
  <c r="U14" i="4"/>
  <c r="U13" i="4" s="1" a="1"/>
  <c r="U13" i="4" s="1"/>
  <c r="H14" i="4"/>
  <c r="V13" i="4"/>
  <c r="V7" i="4" s="1"/>
  <c r="V13" i="4" a="1"/>
  <c r="H13" i="4"/>
  <c r="G13" i="4"/>
  <c r="F13" i="4"/>
  <c r="H12" i="4"/>
  <c r="G12" i="4"/>
  <c r="F12" i="4"/>
  <c r="M11" i="4"/>
  <c r="L11" i="4"/>
  <c r="K11" i="4"/>
  <c r="H11" i="4"/>
  <c r="G11" i="4"/>
  <c r="F11" i="4"/>
  <c r="M10" i="4"/>
  <c r="L10" i="4"/>
  <c r="K10" i="4"/>
  <c r="H10" i="4"/>
  <c r="G10" i="4"/>
  <c r="F10" i="4"/>
  <c r="W9" i="4"/>
  <c r="V9" i="4"/>
  <c r="U9" i="4"/>
  <c r="R9" i="4"/>
  <c r="M9" i="4"/>
  <c r="L9" i="4"/>
  <c r="K9" i="4"/>
  <c r="H9" i="4"/>
  <c r="G9" i="4"/>
  <c r="F9" i="4"/>
  <c r="V8" i="4"/>
  <c r="U8" i="4"/>
  <c r="M8" i="4"/>
  <c r="L8" i="4"/>
  <c r="K8" i="4"/>
  <c r="H8" i="4"/>
  <c r="G8" i="4"/>
  <c r="F8" i="4"/>
  <c r="M7" i="4"/>
  <c r="L7" i="4"/>
  <c r="K7" i="4"/>
  <c r="H7" i="4"/>
  <c r="G7" i="4"/>
  <c r="F7" i="4"/>
  <c r="M6" i="4"/>
  <c r="L6" i="4"/>
  <c r="K6" i="4"/>
  <c r="H6" i="4"/>
  <c r="G6" i="4"/>
  <c r="F6" i="4"/>
  <c r="AJ5" i="4"/>
  <c r="W5" i="4"/>
  <c r="V5" i="4"/>
  <c r="U5" i="4"/>
  <c r="R5" i="4"/>
  <c r="Q5" i="4"/>
  <c r="P5" i="4"/>
  <c r="M5" i="4"/>
  <c r="L5" i="4"/>
  <c r="K5" i="4"/>
  <c r="H5" i="4"/>
  <c r="G5" i="4"/>
  <c r="F5" i="4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A29" i="2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B28" i="2"/>
  <c r="A28" i="2"/>
  <c r="B27" i="2"/>
  <c r="J43" i="2" s="1"/>
  <c r="D18" i="2"/>
  <c r="D17" i="2"/>
  <c r="D14" i="2"/>
  <c r="G11" i="2"/>
  <c r="D11" i="2"/>
  <c r="H11" i="2" s="1"/>
  <c r="G10" i="2"/>
  <c r="D10" i="2"/>
  <c r="H10" i="2" s="1"/>
  <c r="H9" i="2"/>
  <c r="G9" i="2"/>
  <c r="D9" i="2"/>
  <c r="G8" i="2"/>
  <c r="D8" i="2"/>
  <c r="H8" i="2" s="1"/>
  <c r="G7" i="2"/>
  <c r="D7" i="2"/>
  <c r="H7" i="2" s="1"/>
  <c r="H6" i="2"/>
  <c r="G6" i="2"/>
  <c r="D6" i="2"/>
  <c r="H5" i="2"/>
  <c r="G5" i="2"/>
  <c r="D5" i="2"/>
  <c r="D3" i="2"/>
  <c r="E17" i="1"/>
  <c r="E16" i="1"/>
  <c r="E10" i="1"/>
  <c r="E9" i="1"/>
  <c r="R8" i="1"/>
  <c r="R9" i="1" s="1"/>
  <c r="E8" i="1"/>
  <c r="R7" i="1"/>
  <c r="L7" i="1"/>
  <c r="L8" i="1" s="1"/>
  <c r="L9" i="1" s="1"/>
  <c r="L10" i="1" s="1"/>
  <c r="L11" i="1" s="1"/>
  <c r="L12" i="1" s="1"/>
  <c r="L13" i="1" s="1"/>
  <c r="L14" i="1" s="1"/>
  <c r="L15" i="1" s="1"/>
  <c r="E7" i="1"/>
  <c r="R6" i="1"/>
  <c r="L6" i="1"/>
  <c r="E6" i="1"/>
  <c r="R5" i="1"/>
  <c r="L5" i="1"/>
  <c r="E5" i="1"/>
  <c r="S49" i="3" l="1"/>
  <c r="B8" i="1"/>
  <c r="S59" i="3"/>
  <c r="B10" i="1"/>
  <c r="J8" i="3"/>
  <c r="B11" i="1"/>
  <c r="K8" i="3"/>
  <c r="B12" i="1"/>
  <c r="G11" i="3"/>
  <c r="B14" i="1"/>
  <c r="S58" i="3"/>
  <c r="B9" i="1"/>
  <c r="S60" i="3"/>
  <c r="I4" i="3"/>
  <c r="I11" i="3"/>
  <c r="S13" i="3"/>
  <c r="S61" i="3"/>
  <c r="J4" i="3"/>
  <c r="S22" i="3"/>
  <c r="K4" i="3"/>
  <c r="K11" i="3"/>
  <c r="S23" i="3"/>
  <c r="J5" i="3"/>
  <c r="G14" i="3"/>
  <c r="S24" i="3"/>
  <c r="K5" i="3"/>
  <c r="H14" i="3"/>
  <c r="S25" i="3"/>
  <c r="T14" i="1"/>
  <c r="C37" i="2"/>
  <c r="J37" i="2" s="1"/>
  <c r="G8" i="3"/>
  <c r="I14" i="3"/>
  <c r="S34" i="3"/>
  <c r="H11" i="3"/>
  <c r="J11" i="3"/>
  <c r="H8" i="3"/>
  <c r="S35" i="3"/>
  <c r="B7" i="1"/>
  <c r="I8" i="3"/>
  <c r="S36" i="3"/>
  <c r="G6" i="3"/>
  <c r="G9" i="3"/>
  <c r="G12" i="3"/>
  <c r="H6" i="3"/>
  <c r="H9" i="3"/>
  <c r="K12" i="3"/>
  <c r="I3" i="3"/>
  <c r="I6" i="3"/>
  <c r="I9" i="3"/>
  <c r="G13" i="3"/>
  <c r="S37" i="3"/>
  <c r="B4" i="1"/>
  <c r="E13" i="1" s="1"/>
  <c r="K3" i="3"/>
  <c r="K6" i="3"/>
  <c r="I10" i="3"/>
  <c r="I13" i="3"/>
  <c r="S10" i="3"/>
  <c r="S46" i="3"/>
  <c r="B5" i="1"/>
  <c r="T13" i="1"/>
  <c r="J36" i="2"/>
  <c r="G4" i="3"/>
  <c r="G7" i="3"/>
  <c r="J10" i="3"/>
  <c r="J13" i="3"/>
  <c r="S11" i="3"/>
  <c r="S47" i="3"/>
  <c r="H3" i="3"/>
  <c r="J3" i="3"/>
  <c r="J6" i="3"/>
  <c r="J9" i="3"/>
  <c r="H13" i="3"/>
  <c r="B6" i="1"/>
  <c r="H4" i="3"/>
  <c r="H7" i="3"/>
  <c r="K10" i="3"/>
  <c r="K13" i="3"/>
  <c r="S12" i="3"/>
  <c r="S48" i="3"/>
  <c r="N15" i="1"/>
  <c r="N4" i="1"/>
  <c r="C38" i="2"/>
  <c r="J38" i="2" s="1"/>
  <c r="T15" i="1"/>
  <c r="N6" i="1"/>
  <c r="T4" i="1"/>
  <c r="C40" i="2"/>
  <c r="J40" i="2" s="1"/>
  <c r="S14" i="3"/>
  <c r="S38" i="3"/>
  <c r="S62" i="3"/>
  <c r="N8" i="1"/>
  <c r="S3" i="3"/>
  <c r="S15" i="3"/>
  <c r="S39" i="3"/>
  <c r="N9" i="1"/>
  <c r="T7" i="1"/>
  <c r="S16" i="3"/>
  <c r="S28" i="3"/>
  <c r="S40" i="3"/>
  <c r="S5" i="3"/>
  <c r="S29" i="3"/>
  <c r="S41" i="3"/>
  <c r="S53" i="3"/>
  <c r="S6" i="3"/>
  <c r="S18" i="3"/>
  <c r="S30" i="3"/>
  <c r="S42" i="3"/>
  <c r="S54" i="3"/>
  <c r="B13" i="1"/>
  <c r="N12" i="1"/>
  <c r="T10" i="1"/>
  <c r="C34" i="2"/>
  <c r="J34" i="2" s="1"/>
  <c r="G5" i="3"/>
  <c r="I7" i="3"/>
  <c r="K9" i="3"/>
  <c r="H12" i="3"/>
  <c r="J14" i="3"/>
  <c r="S7" i="3"/>
  <c r="S19" i="3"/>
  <c r="S31" i="3"/>
  <c r="S43" i="3"/>
  <c r="S55" i="3"/>
  <c r="C27" i="2"/>
  <c r="S50" i="3"/>
  <c r="T6" i="1"/>
  <c r="C30" i="2"/>
  <c r="J30" i="2" s="1"/>
  <c r="C32" i="2"/>
  <c r="J32" i="2" s="1"/>
  <c r="T9" i="1"/>
  <c r="C33" i="2"/>
  <c r="J33" i="2" s="1"/>
  <c r="N13" i="1"/>
  <c r="T11" i="1"/>
  <c r="C35" i="2"/>
  <c r="J35" i="2" s="1"/>
  <c r="H5" i="3"/>
  <c r="J7" i="3"/>
  <c r="G10" i="3"/>
  <c r="I12" i="3"/>
  <c r="K14" i="3"/>
  <c r="S8" i="3"/>
  <c r="S20" i="3"/>
  <c r="S32" i="3"/>
  <c r="S44" i="3"/>
  <c r="S56" i="3"/>
  <c r="N5" i="1"/>
  <c r="C39" i="2"/>
  <c r="J39" i="2" s="1"/>
  <c r="C28" i="2"/>
  <c r="J28" i="2" s="1"/>
  <c r="N7" i="1"/>
  <c r="T5" i="1"/>
  <c r="C29" i="2"/>
  <c r="J29" i="2" s="1"/>
  <c r="C41" i="2"/>
  <c r="J41" i="2" s="1"/>
  <c r="S26" i="3"/>
  <c r="S27" i="3"/>
  <c r="S51" i="3"/>
  <c r="C31" i="2"/>
  <c r="J31" i="2" s="1"/>
  <c r="S4" i="3"/>
  <c r="S52" i="3"/>
  <c r="N10" i="1"/>
  <c r="T8" i="1"/>
  <c r="S17" i="3"/>
  <c r="N11" i="1"/>
  <c r="G3" i="3"/>
  <c r="I5" i="3"/>
  <c r="K7" i="3"/>
  <c r="H10" i="3"/>
  <c r="S9" i="3"/>
  <c r="S21" i="3"/>
  <c r="S33" i="3"/>
  <c r="S45" i="3"/>
  <c r="H12" i="2"/>
  <c r="D15" i="2" s="1"/>
  <c r="D16" i="2" s="1"/>
  <c r="D19" i="2" s="1"/>
  <c r="D21" i="2" s="1"/>
  <c r="U20" i="4"/>
  <c r="U11" i="4" s="1"/>
  <c r="R10" i="1"/>
  <c r="U7" i="4"/>
  <c r="W8" i="4"/>
  <c r="W7" i="4"/>
  <c r="W13" i="4" a="1"/>
  <c r="W13" i="4" s="1"/>
  <c r="H6" i="1" l="1"/>
  <c r="I6" i="1" s="1"/>
  <c r="H10" i="1"/>
  <c r="I10" i="1" s="1"/>
  <c r="H8" i="1"/>
  <c r="I8" i="1" s="1"/>
  <c r="H9" i="1"/>
  <c r="I9" i="1" s="1"/>
  <c r="H7" i="1"/>
  <c r="I7" i="1" s="1"/>
  <c r="H5" i="1"/>
  <c r="I5" i="1" s="1"/>
  <c r="I11" i="1" s="1"/>
  <c r="E14" i="1" s="1"/>
  <c r="E15" i="1" s="1"/>
  <c r="E18" i="1" s="1"/>
  <c r="T60" i="3"/>
  <c r="T48" i="3"/>
  <c r="T36" i="3"/>
  <c r="T24" i="3"/>
  <c r="T14" i="3"/>
  <c r="T12" i="3"/>
  <c r="T10" i="3"/>
  <c r="T8" i="3"/>
  <c r="T6" i="3"/>
  <c r="T4" i="3"/>
  <c r="T21" i="3"/>
  <c r="T44" i="3"/>
  <c r="T55" i="3"/>
  <c r="T54" i="3"/>
  <c r="T53" i="3"/>
  <c r="T17" i="3"/>
  <c r="T51" i="3"/>
  <c r="T62" i="3"/>
  <c r="T15" i="3"/>
  <c r="T59" i="3"/>
  <c r="T47" i="3"/>
  <c r="T35" i="3"/>
  <c r="T23" i="3"/>
  <c r="T5" i="3"/>
  <c r="T29" i="3"/>
  <c r="T52" i="3"/>
  <c r="T40" i="3"/>
  <c r="T28" i="3"/>
  <c r="T38" i="3"/>
  <c r="T49" i="3"/>
  <c r="T58" i="3"/>
  <c r="T46" i="3"/>
  <c r="T34" i="3"/>
  <c r="T22" i="3"/>
  <c r="T57" i="3"/>
  <c r="T45" i="3"/>
  <c r="T33" i="3"/>
  <c r="T56" i="3"/>
  <c r="T32" i="3"/>
  <c r="T20" i="3"/>
  <c r="T43" i="3"/>
  <c r="T31" i="3"/>
  <c r="T19" i="3"/>
  <c r="T42" i="3"/>
  <c r="T30" i="3"/>
  <c r="T18" i="3"/>
  <c r="T13" i="3"/>
  <c r="T11" i="3"/>
  <c r="T9" i="3"/>
  <c r="T7" i="3"/>
  <c r="T3" i="3"/>
  <c r="T41" i="3"/>
  <c r="T39" i="3"/>
  <c r="T27" i="3"/>
  <c r="T50" i="3"/>
  <c r="T26" i="3"/>
  <c r="T16" i="3"/>
  <c r="T61" i="3"/>
  <c r="T37" i="3"/>
  <c r="T25" i="3"/>
  <c r="R11" i="1"/>
  <c r="W6" i="4"/>
  <c r="E3" i="1"/>
  <c r="U6" i="4"/>
  <c r="V6" i="4"/>
  <c r="J27" i="2"/>
  <c r="J42" i="2" s="1"/>
  <c r="J44" i="2" s="1"/>
  <c r="B44" i="2"/>
  <c r="W11" i="4"/>
  <c r="V11" i="4"/>
  <c r="R12" i="1" l="1"/>
  <c r="R13" i="1" l="1"/>
  <c r="R14" i="1" l="1"/>
  <c r="R15" i="1" l="1"/>
  <c r="Y3" i="1" l="1"/>
  <c r="Y11" i="1" l="1"/>
  <c r="U5" i="1"/>
  <c r="U4" i="1"/>
  <c r="Y4" i="1"/>
  <c r="U8" i="1"/>
  <c r="Y10" i="1"/>
  <c r="U6" i="1"/>
  <c r="U9" i="1"/>
  <c r="U7" i="1"/>
  <c r="U10" i="1"/>
  <c r="U11" i="1"/>
  <c r="U12" i="1"/>
  <c r="U13" i="1"/>
  <c r="U14" i="1"/>
  <c r="U15" i="1"/>
  <c r="Y5" i="1" l="1"/>
  <c r="V15" i="1" l="1"/>
  <c r="V4" i="1" s="1"/>
  <c r="Y9" i="1" s="1"/>
  <c r="Y12" i="1" s="1"/>
  <c r="Y13" i="1" s="1"/>
  <c r="Y15" i="1" s="1"/>
  <c r="V14" i="1"/>
  <c r="V5" i="1" s="1"/>
  <c r="Y6" i="1" l="1"/>
  <c r="V13" i="1" l="1"/>
  <c r="V11" i="1"/>
  <c r="V10" i="1"/>
  <c r="V9" i="1"/>
  <c r="V6" i="1"/>
  <c r="V12" i="1"/>
  <c r="V7" i="1"/>
  <c r="V8" i="1"/>
</calcChain>
</file>

<file path=xl/sharedStrings.xml><?xml version="1.0" encoding="utf-8"?>
<sst xmlns="http://schemas.openxmlformats.org/spreadsheetml/2006/main" count="180" uniqueCount="103">
  <si>
    <t>Test for Normality - Shapiro-Wilk</t>
  </si>
  <si>
    <t>Royston Method - using Real Statistics formulas</t>
  </si>
  <si>
    <t>Royston Method</t>
  </si>
  <si>
    <t>Age</t>
  </si>
  <si>
    <t>Sorted</t>
  </si>
  <si>
    <t>n</t>
  </si>
  <si>
    <t>Index</t>
  </si>
  <si>
    <t>Coeff</t>
  </si>
  <si>
    <t>mi</t>
  </si>
  <si>
    <t>ai</t>
  </si>
  <si>
    <t>diff</t>
  </si>
  <si>
    <t>a*diff</t>
  </si>
  <si>
    <t>u</t>
  </si>
  <si>
    <t>a1</t>
  </si>
  <si>
    <t>x12 - x1</t>
  </si>
  <si>
    <t>m</t>
  </si>
  <si>
    <t>a2</t>
  </si>
  <si>
    <t>x11 - x2</t>
  </si>
  <si>
    <t>ϵ</t>
  </si>
  <si>
    <t>a3</t>
  </si>
  <si>
    <t>x10 - x3</t>
  </si>
  <si>
    <t>a4</t>
  </si>
  <si>
    <t>x9 - x4</t>
  </si>
  <si>
    <t>a5</t>
  </si>
  <si>
    <t>x8 - x5</t>
  </si>
  <si>
    <t>W</t>
  </si>
  <si>
    <t>a6</t>
  </si>
  <si>
    <t>x7 - x6</t>
  </si>
  <si>
    <t>mean</t>
  </si>
  <si>
    <t>stdev</t>
  </si>
  <si>
    <t>z</t>
  </si>
  <si>
    <t>SS</t>
  </si>
  <si>
    <t>p-value</t>
  </si>
  <si>
    <t>b</t>
  </si>
  <si>
    <t>alpha</t>
  </si>
  <si>
    <r>
      <t>W = b</t>
    </r>
    <r>
      <rPr>
        <vertAlign val="superscript"/>
        <sz val="11"/>
        <color theme="1"/>
        <rFont val="Aptos Narrow"/>
        <family val="2"/>
        <scheme val="minor"/>
      </rPr>
      <t>2</t>
    </r>
    <r>
      <rPr>
        <sz val="11"/>
        <color theme="1"/>
        <rFont val="Aptos Narrow"/>
        <family val="2"/>
        <scheme val="minor"/>
      </rPr>
      <t>/SS</t>
    </r>
  </si>
  <si>
    <t>reject</t>
  </si>
  <si>
    <t>Using unsorted data</t>
  </si>
  <si>
    <t>Data</t>
  </si>
  <si>
    <t>Using the Real Statistics functions (SW algorithm)</t>
  </si>
  <si>
    <t>x15 - x1</t>
  </si>
  <si>
    <t>SHAPIRO</t>
  </si>
  <si>
    <t>x14 - x2</t>
  </si>
  <si>
    <t>SWTEST</t>
  </si>
  <si>
    <t>x13 - x3</t>
  </si>
  <si>
    <t>SWPROB</t>
  </si>
  <si>
    <t>x12 - x4</t>
  </si>
  <si>
    <t>x11 - x5</t>
  </si>
  <si>
    <t>x10 - x6</t>
  </si>
  <si>
    <t>a7</t>
  </si>
  <si>
    <t>x9 - x7</t>
  </si>
  <si>
    <t>Royston algorithm via Real Statistics functions</t>
  </si>
  <si>
    <t>Alternative way of calculating W</t>
  </si>
  <si>
    <t>Coeff x Data</t>
  </si>
  <si>
    <t>num</t>
  </si>
  <si>
    <t>den</t>
  </si>
  <si>
    <t>=SHAPIRO(B25:B39)</t>
  </si>
  <si>
    <t>Sorted data</t>
  </si>
  <si>
    <t>Coefficients</t>
  </si>
  <si>
    <t xml:space="preserve"> =SHAPIRO(A3:E14)</t>
  </si>
  <si>
    <t xml:space="preserve"> =SWTEST(A3:E14)</t>
  </si>
  <si>
    <t xml:space="preserve"> =IF(B18&lt;=B19,"yes","no")</t>
  </si>
  <si>
    <t>Shapiro-Wilk Test using data analysis tool</t>
  </si>
  <si>
    <t>Sample 1</t>
  </si>
  <si>
    <t>Sample 2</t>
  </si>
  <si>
    <t>Sample 3</t>
  </si>
  <si>
    <t>Descriptive Statistics</t>
  </si>
  <si>
    <t>Box Plot</t>
  </si>
  <si>
    <t>Shapiro-Wilk Test</t>
  </si>
  <si>
    <t>Mean</t>
  </si>
  <si>
    <t>Min</t>
  </si>
  <si>
    <t>W-stat</t>
  </si>
  <si>
    <t>Standard Error</t>
  </si>
  <si>
    <t>Q1-Min</t>
  </si>
  <si>
    <t>Median</t>
  </si>
  <si>
    <t>Med-Q1</t>
  </si>
  <si>
    <t>Mode</t>
  </si>
  <si>
    <t>Q3-Med</t>
  </si>
  <si>
    <t>normal</t>
  </si>
  <si>
    <t>Standard Deviation</t>
  </si>
  <si>
    <t>Max-Q3</t>
  </si>
  <si>
    <t>Sample Variance</t>
  </si>
  <si>
    <t>d'Agostino-Pearson</t>
  </si>
  <si>
    <t>Kurtosis</t>
  </si>
  <si>
    <t>Skewness</t>
  </si>
  <si>
    <t>DA-stat</t>
  </si>
  <si>
    <t>Range</t>
  </si>
  <si>
    <t>Q1</t>
  </si>
  <si>
    <t>Maximum</t>
  </si>
  <si>
    <t>Minimum</t>
  </si>
  <si>
    <t>Q3</t>
  </si>
  <si>
    <t>Sum</t>
  </si>
  <si>
    <t>Max</t>
  </si>
  <si>
    <t>Count</t>
  </si>
  <si>
    <t>Geometric Mean</t>
  </si>
  <si>
    <t>Harmonic Mean</t>
  </si>
  <si>
    <t>Grand Min</t>
  </si>
  <si>
    <t>AAD</t>
  </si>
  <si>
    <t>MAD</t>
  </si>
  <si>
    <t>IQR</t>
  </si>
  <si>
    <t>Real Statistics Using Excel</t>
  </si>
  <si>
    <t>Updated</t>
  </si>
  <si>
    <t>Copyright © 2013 - 2024 Charles Zaiontz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</si>
</sst>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vertAlign val="superscript"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0" xfId="0" applyAlignment="1">
      <alignment horizontal="left"/>
    </xf>
    <xf numFmtId="0" fontId="0" fillId="0" borderId="3" xfId="0" applyBorder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0" borderId="0" xfId="0" applyFont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4" xfId="0" applyBorder="1"/>
    <xf numFmtId="0" fontId="0" fillId="0" borderId="10" xfId="0" applyBorder="1" applyAlignment="1">
      <alignment horizontal="right"/>
    </xf>
    <xf numFmtId="0" fontId="0" fillId="0" borderId="0" xfId="0" quotePrefix="1"/>
    <xf numFmtId="164" fontId="0" fillId="0" borderId="0" xfId="0" applyNumberFormat="1" applyAlignment="1">
      <alignment horizontal="center"/>
    </xf>
    <xf numFmtId="165" fontId="0" fillId="0" borderId="3" xfId="0" applyNumberFormat="1" applyBorder="1"/>
    <xf numFmtId="164" fontId="0" fillId="0" borderId="6" xfId="0" applyNumberFormat="1" applyBorder="1"/>
    <xf numFmtId="165" fontId="0" fillId="0" borderId="5" xfId="0" applyNumberFormat="1" applyBorder="1"/>
    <xf numFmtId="164" fontId="0" fillId="0" borderId="8" xfId="0" applyNumberFormat="1" applyBorder="1"/>
    <xf numFmtId="165" fontId="0" fillId="0" borderId="10" xfId="0" applyNumberFormat="1" applyBorder="1"/>
    <xf numFmtId="164" fontId="0" fillId="0" borderId="11" xfId="0" applyNumberFormat="1" applyBorder="1"/>
    <xf numFmtId="164" fontId="0" fillId="0" borderId="4" xfId="0" applyNumberFormat="1" applyBorder="1" applyAlignment="1">
      <alignment horizontal="center"/>
    </xf>
    <xf numFmtId="0" fontId="0" fillId="0" borderId="13" xfId="0" applyBorder="1"/>
    <xf numFmtId="0" fontId="0" fillId="0" borderId="1" xfId="0" applyBorder="1"/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4" xfId="0" applyBorder="1" applyAlignment="1">
      <alignment horizontal="right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15" fontId="0" fillId="0" borderId="0" xfId="0" applyNumberFormat="1"/>
    <xf numFmtId="0" fontId="5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Box Plot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'SW 4'!$J$6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F81BD"/>
                  </a:solidFill>
                </a14:hiddenFill>
              </a:ext>
            </a:extLst>
          </c:spPr>
          <c:invertIfNegative val="0"/>
          <c:cat>
            <c:strRef>
              <c:f>'SW 4'!$K$5:$M$5</c:f>
              <c:strCache>
                <c:ptCount val="3"/>
                <c:pt idx="0">
                  <c:v>Sample 1</c:v>
                </c:pt>
                <c:pt idx="1">
                  <c:v>Sample 2</c:v>
                </c:pt>
                <c:pt idx="2">
                  <c:v>Sample 3</c:v>
                </c:pt>
              </c:strCache>
            </c:strRef>
          </c:cat>
          <c:val>
            <c:numRef>
              <c:f>'SW 4'!$K$6:$M$6</c:f>
              <c:numCache>
                <c:formatCode>General</c:formatCode>
                <c:ptCount val="3"/>
                <c:pt idx="0">
                  <c:v>8</c:v>
                </c:pt>
                <c:pt idx="1">
                  <c:v>3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01-460E-8750-44E8D3E320AB}"/>
            </c:ext>
          </c:extLst>
        </c:ser>
        <c:ser>
          <c:idx val="1"/>
          <c:order val="1"/>
          <c:tx>
            <c:strRef>
              <c:f>'SW 4'!$J$7</c:f>
              <c:strCache>
                <c:ptCount val="1"/>
                <c:pt idx="0">
                  <c:v>Q1-Min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C0504D"/>
                  </a:solidFill>
                </a14:hiddenFill>
              </a:ext>
            </a:extLst>
          </c:spPr>
          <c:invertIfNegative val="0"/>
          <c:errBars>
            <c:errBarType val="minus"/>
            <c:errValType val="percentage"/>
            <c:noEndCap val="0"/>
            <c:val val="100"/>
          </c:errBars>
          <c:cat>
            <c:strRef>
              <c:f>'SW 4'!$K$5:$M$5</c:f>
              <c:strCache>
                <c:ptCount val="3"/>
                <c:pt idx="0">
                  <c:v>Sample 1</c:v>
                </c:pt>
                <c:pt idx="1">
                  <c:v>Sample 2</c:v>
                </c:pt>
                <c:pt idx="2">
                  <c:v>Sample 3</c:v>
                </c:pt>
              </c:strCache>
            </c:strRef>
          </c:cat>
          <c:val>
            <c:numRef>
              <c:f>'SW 4'!$K$7:$M$7</c:f>
              <c:numCache>
                <c:formatCode>General</c:formatCode>
                <c:ptCount val="3"/>
                <c:pt idx="0">
                  <c:v>11</c:v>
                </c:pt>
                <c:pt idx="1">
                  <c:v>20</c:v>
                </c:pt>
                <c:pt idx="2">
                  <c:v>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01-460E-8750-44E8D3E320AB}"/>
            </c:ext>
          </c:extLst>
        </c:ser>
        <c:ser>
          <c:idx val="2"/>
          <c:order val="2"/>
          <c:tx>
            <c:strRef>
              <c:f>'SW 4'!$J$8</c:f>
              <c:strCache>
                <c:ptCount val="1"/>
                <c:pt idx="0">
                  <c:v>Med-Q1</c:v>
                </c:pt>
              </c:strCache>
            </c:strRef>
          </c:tx>
          <c:invertIfNegative val="0"/>
          <c:cat>
            <c:strRef>
              <c:f>'SW 4'!$K$5:$M$5</c:f>
              <c:strCache>
                <c:ptCount val="3"/>
                <c:pt idx="0">
                  <c:v>Sample 1</c:v>
                </c:pt>
                <c:pt idx="1">
                  <c:v>Sample 2</c:v>
                </c:pt>
                <c:pt idx="2">
                  <c:v>Sample 3</c:v>
                </c:pt>
              </c:strCache>
            </c:strRef>
          </c:cat>
          <c:val>
            <c:numRef>
              <c:f>'SW 4'!$K$8:$M$8</c:f>
              <c:numCache>
                <c:formatCode>General</c:formatCode>
                <c:ptCount val="3"/>
                <c:pt idx="0">
                  <c:v>16</c:v>
                </c:pt>
                <c:pt idx="1">
                  <c:v>4</c:v>
                </c:pt>
                <c:pt idx="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01-460E-8750-44E8D3E320AB}"/>
            </c:ext>
          </c:extLst>
        </c:ser>
        <c:ser>
          <c:idx val="3"/>
          <c:order val="3"/>
          <c:tx>
            <c:strRef>
              <c:f>'SW 4'!$J$9</c:f>
              <c:strCache>
                <c:ptCount val="1"/>
                <c:pt idx="0">
                  <c:v>Q3-Med</c:v>
                </c:pt>
              </c:strCache>
            </c:strRef>
          </c:tx>
          <c:invertIfNegative val="0"/>
          <c:errBars>
            <c:errBarType val="plus"/>
            <c:errValType val="cust"/>
            <c:noEndCap val="0"/>
            <c:plus>
              <c:numRef>
                <c:f>'SW 4'!$K$10:$M$10</c:f>
                <c:numCache>
                  <c:formatCode>General</c:formatCode>
                  <c:ptCount val="3"/>
                  <c:pt idx="0">
                    <c:v>47</c:v>
                  </c:pt>
                  <c:pt idx="1">
                    <c:v>72</c:v>
                  </c:pt>
                  <c:pt idx="2">
                    <c:v>55</c:v>
                  </c:pt>
                </c:numCache>
              </c:numRef>
            </c:plus>
          </c:errBars>
          <c:cat>
            <c:strRef>
              <c:f>'SW 4'!$K$5:$M$5</c:f>
              <c:strCache>
                <c:ptCount val="3"/>
                <c:pt idx="0">
                  <c:v>Sample 1</c:v>
                </c:pt>
                <c:pt idx="1">
                  <c:v>Sample 2</c:v>
                </c:pt>
                <c:pt idx="2">
                  <c:v>Sample 3</c:v>
                </c:pt>
              </c:strCache>
            </c:strRef>
          </c:cat>
          <c:val>
            <c:numRef>
              <c:f>'SW 4'!$K$9:$M$9</c:f>
              <c:numCache>
                <c:formatCode>General</c:formatCode>
                <c:ptCount val="3"/>
                <c:pt idx="0">
                  <c:v>13</c:v>
                </c:pt>
                <c:pt idx="1">
                  <c:v>26</c:v>
                </c:pt>
                <c:pt idx="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01-460E-8750-44E8D3E32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12179552"/>
        <c:axId val="812178768"/>
      </c:barChart>
      <c:scatterChart>
        <c:scatterStyle val="lineMarker"/>
        <c:varyColors val="0"/>
        <c:ser>
          <c:idx val="4"/>
          <c:order val="4"/>
          <c:tx>
            <c:v>m</c:v>
          </c:tx>
          <c:spPr>
            <a:ln w="28575">
              <a:noFill/>
            </a:ln>
          </c:spPr>
          <c:marker>
            <c:symbol val="x"/>
            <c:size val="5"/>
            <c:spPr>
              <a:ln>
                <a:solidFill>
                  <a:srgbClr val="000000"/>
                </a:solidFill>
                <a:prstDash val="solid"/>
              </a:ln>
            </c:spPr>
          </c:marker>
          <c:yVal>
            <c:numRef>
              <c:f>'SW 4'!$K$11:$M$11</c:f>
              <c:numCache>
                <c:formatCode>General</c:formatCode>
                <c:ptCount val="3"/>
                <c:pt idx="0">
                  <c:v>36.846153846153847</c:v>
                </c:pt>
                <c:pt idx="1">
                  <c:v>41.153846153846153</c:v>
                </c:pt>
                <c:pt idx="2">
                  <c:v>131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B01-460E-8750-44E8D3E32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2179552"/>
        <c:axId val="812178768"/>
      </c:scatterChart>
      <c:catAx>
        <c:axId val="81217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12178768"/>
        <c:crosses val="autoZero"/>
        <c:auto val="1"/>
        <c:lblAlgn val="ctr"/>
        <c:lblOffset val="100"/>
        <c:noMultiLvlLbl val="0"/>
      </c:catAx>
      <c:valAx>
        <c:axId val="8121787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121795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Box Plot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'SW 4'!$T$6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F81BD"/>
                  </a:solidFill>
                </a14:hiddenFill>
              </a:ext>
            </a:extLst>
          </c:spPr>
          <c:invertIfNegative val="0"/>
          <c:cat>
            <c:strRef>
              <c:f>'SW 4'!$U$5:$W$5</c:f>
              <c:strCache>
                <c:ptCount val="3"/>
                <c:pt idx="0">
                  <c:v>Sample 1</c:v>
                </c:pt>
                <c:pt idx="1">
                  <c:v>Sample 2</c:v>
                </c:pt>
                <c:pt idx="2">
                  <c:v>Sample 3</c:v>
                </c:pt>
              </c:strCache>
            </c:strRef>
          </c:cat>
          <c:val>
            <c:numRef>
              <c:f>'SW 4'!$U$6:$W$6</c:f>
              <c:numCache>
                <c:formatCode>General</c:formatCode>
                <c:ptCount val="3"/>
                <c:pt idx="0">
                  <c:v>8</c:v>
                </c:pt>
                <c:pt idx="1">
                  <c:v>3</c:v>
                </c:pt>
                <c:pt idx="2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C0-4E76-BDE5-0C33560FB4F9}"/>
            </c:ext>
          </c:extLst>
        </c:ser>
        <c:ser>
          <c:idx val="1"/>
          <c:order val="1"/>
          <c:tx>
            <c:strRef>
              <c:f>'SW 4'!$T$7</c:f>
              <c:strCache>
                <c:ptCount val="1"/>
                <c:pt idx="0">
                  <c:v>Q1-Min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C0504D"/>
                  </a:solidFill>
                </a14:hiddenFill>
              </a:ext>
            </a:extLst>
          </c:spPr>
          <c:invertIfNegative val="0"/>
          <c:errBars>
            <c:errBarType val="minus"/>
            <c:errValType val="percentage"/>
            <c:noEndCap val="0"/>
            <c:val val="100"/>
          </c:errBars>
          <c:cat>
            <c:strRef>
              <c:f>'SW 4'!$U$5:$W$5</c:f>
              <c:strCache>
                <c:ptCount val="3"/>
                <c:pt idx="0">
                  <c:v>Sample 1</c:v>
                </c:pt>
                <c:pt idx="1">
                  <c:v>Sample 2</c:v>
                </c:pt>
                <c:pt idx="2">
                  <c:v>Sample 3</c:v>
                </c:pt>
              </c:strCache>
            </c:strRef>
          </c:cat>
          <c:val>
            <c:numRef>
              <c:f>'SW 4'!$U$7:$W$7</c:f>
              <c:numCache>
                <c:formatCode>General</c:formatCode>
                <c:ptCount val="3"/>
                <c:pt idx="0">
                  <c:v>11</c:v>
                </c:pt>
                <c:pt idx="1">
                  <c:v>20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C0-4E76-BDE5-0C33560FB4F9}"/>
            </c:ext>
          </c:extLst>
        </c:ser>
        <c:ser>
          <c:idx val="2"/>
          <c:order val="2"/>
          <c:tx>
            <c:strRef>
              <c:f>'SW 4'!$T$8</c:f>
              <c:strCache>
                <c:ptCount val="1"/>
                <c:pt idx="0">
                  <c:v>Med-Q1</c:v>
                </c:pt>
              </c:strCache>
            </c:strRef>
          </c:tx>
          <c:invertIfNegative val="0"/>
          <c:cat>
            <c:strRef>
              <c:f>'SW 4'!$U$5:$W$5</c:f>
              <c:strCache>
                <c:ptCount val="3"/>
                <c:pt idx="0">
                  <c:v>Sample 1</c:v>
                </c:pt>
                <c:pt idx="1">
                  <c:v>Sample 2</c:v>
                </c:pt>
                <c:pt idx="2">
                  <c:v>Sample 3</c:v>
                </c:pt>
              </c:strCache>
            </c:strRef>
          </c:cat>
          <c:val>
            <c:numRef>
              <c:f>'SW 4'!$U$8:$W$8</c:f>
              <c:numCache>
                <c:formatCode>General</c:formatCode>
                <c:ptCount val="3"/>
                <c:pt idx="0">
                  <c:v>16</c:v>
                </c:pt>
                <c:pt idx="1">
                  <c:v>4</c:v>
                </c:pt>
                <c:pt idx="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C0-4E76-BDE5-0C33560FB4F9}"/>
            </c:ext>
          </c:extLst>
        </c:ser>
        <c:ser>
          <c:idx val="3"/>
          <c:order val="3"/>
          <c:tx>
            <c:strRef>
              <c:f>'SW 4'!$T$9</c:f>
              <c:strCache>
                <c:ptCount val="1"/>
                <c:pt idx="0">
                  <c:v>Q3-Med</c:v>
                </c:pt>
              </c:strCache>
            </c:strRef>
          </c:tx>
          <c:invertIfNegative val="0"/>
          <c:errBars>
            <c:errBarType val="plus"/>
            <c:errValType val="cust"/>
            <c:noEndCap val="0"/>
            <c:plus>
              <c:numRef>
                <c:f>'SW 4'!$U$10:$W$10</c:f>
                <c:numCache>
                  <c:formatCode>General</c:formatCode>
                  <c:ptCount val="3"/>
                  <c:pt idx="0">
                    <c:v>11</c:v>
                  </c:pt>
                  <c:pt idx="1">
                    <c:v>19</c:v>
                  </c:pt>
                  <c:pt idx="2">
                    <c:v>55</c:v>
                  </c:pt>
                </c:numCache>
              </c:numRef>
            </c:plus>
          </c:errBars>
          <c:cat>
            <c:strRef>
              <c:f>'SW 4'!$U$5:$W$5</c:f>
              <c:strCache>
                <c:ptCount val="3"/>
                <c:pt idx="0">
                  <c:v>Sample 1</c:v>
                </c:pt>
                <c:pt idx="1">
                  <c:v>Sample 2</c:v>
                </c:pt>
                <c:pt idx="2">
                  <c:v>Sample 3</c:v>
                </c:pt>
              </c:strCache>
            </c:strRef>
          </c:cat>
          <c:val>
            <c:numRef>
              <c:f>'SW 4'!$U$9:$W$9</c:f>
              <c:numCache>
                <c:formatCode>General</c:formatCode>
                <c:ptCount val="3"/>
                <c:pt idx="0">
                  <c:v>13</c:v>
                </c:pt>
                <c:pt idx="1">
                  <c:v>26</c:v>
                </c:pt>
                <c:pt idx="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4C0-4E76-BDE5-0C33560FB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12180728"/>
        <c:axId val="777234408"/>
      </c:barChart>
      <c:scatterChart>
        <c:scatterStyle val="lineMarker"/>
        <c:varyColors val="0"/>
        <c:ser>
          <c:idx val="4"/>
          <c:order val="4"/>
          <c:tx>
            <c:v>m</c:v>
          </c:tx>
          <c:spPr>
            <a:ln w="28575">
              <a:noFill/>
            </a:ln>
          </c:spPr>
          <c:marker>
            <c:symbol val="x"/>
            <c:size val="5"/>
            <c:spPr>
              <a:ln>
                <a:solidFill>
                  <a:srgbClr val="000000"/>
                </a:solidFill>
                <a:prstDash val="solid"/>
              </a:ln>
            </c:spPr>
          </c:marker>
          <c:yVal>
            <c:numRef>
              <c:f>'SW 4'!$U$11:$W$11</c:f>
              <c:numCache>
                <c:formatCode>General</c:formatCode>
                <c:ptCount val="3"/>
                <c:pt idx="0">
                  <c:v>36.846153846153847</c:v>
                </c:pt>
                <c:pt idx="1">
                  <c:v>41.153846153846153</c:v>
                </c:pt>
                <c:pt idx="2">
                  <c:v>131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4C0-4E76-BDE5-0C33560FB4F9}"/>
            </c:ext>
          </c:extLst>
        </c:ser>
        <c:ser>
          <c:idx val="5"/>
          <c:order val="5"/>
          <c:tx>
            <c:v>x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1</c:v>
              </c:pt>
            </c:numLit>
          </c:xVal>
          <c:yVal>
            <c:numRef>
              <c:f>'SW 4'!$A$7</c:f>
              <c:numCache>
                <c:formatCode>General</c:formatCode>
                <c:ptCount val="1"/>
                <c:pt idx="0">
                  <c:v>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4C0-4E76-BDE5-0C33560FB4F9}"/>
            </c:ext>
          </c:extLst>
        </c:ser>
        <c:ser>
          <c:idx val="6"/>
          <c:order val="6"/>
          <c:tx>
            <c:v>x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2</c:v>
              </c:pt>
            </c:numLit>
          </c:xVal>
          <c:yVal>
            <c:numRef>
              <c:f>'SW 4'!$B$15</c:f>
              <c:numCache>
                <c:formatCode>General</c:formatCode>
                <c:ptCount val="1"/>
                <c:pt idx="0">
                  <c:v>125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4C0-4E76-BDE5-0C33560FB4F9}"/>
            </c:ext>
          </c:extLst>
        </c:ser>
        <c:ser>
          <c:idx val="7"/>
          <c:order val="7"/>
          <c:tx>
            <c:v>x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3</c:v>
              </c:pt>
            </c:numLit>
          </c:xVal>
          <c:yVal>
            <c:numRef>
              <c:f>'SW 4'!$C$9</c:f>
              <c:numCache>
                <c:formatCode>General</c:formatCode>
                <c:ptCount val="1"/>
                <c:pt idx="0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4C0-4E76-BDE5-0C33560FB4F9}"/>
            </c:ext>
          </c:extLst>
        </c:ser>
        <c:ser>
          <c:idx val="8"/>
          <c:order val="8"/>
          <c:tx>
            <c:v>x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3</c:v>
              </c:pt>
            </c:numLit>
          </c:xVal>
          <c:yVal>
            <c:numRef>
              <c:f>'SW 4'!$C$12</c:f>
              <c:numCache>
                <c:formatCode>General</c:formatCode>
                <c:ptCount val="1"/>
                <c:pt idx="0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4C0-4E76-BDE5-0C33560FB4F9}"/>
            </c:ext>
          </c:extLst>
        </c:ser>
        <c:ser>
          <c:idx val="9"/>
          <c:order val="9"/>
          <c:tx>
            <c:v>x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3</c:v>
              </c:pt>
            </c:numLit>
          </c:xVal>
          <c:yVal>
            <c:numRef>
              <c:f>'SW 4'!$C$16</c:f>
              <c:numCache>
                <c:formatCode>General</c:formatCode>
                <c:ptCount val="1"/>
                <c:pt idx="0">
                  <c:v>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A4C0-4E76-BDE5-0C33560FB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2180728"/>
        <c:axId val="777234408"/>
      </c:scatterChart>
      <c:catAx>
        <c:axId val="812180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77234408"/>
        <c:crosses val="autoZero"/>
        <c:auto val="1"/>
        <c:lblAlgn val="ctr"/>
        <c:lblOffset val="100"/>
        <c:noMultiLvlLbl val="0"/>
      </c:catAx>
      <c:valAx>
        <c:axId val="777234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121807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152400</xdr:colOff>
      <xdr:row>16</xdr:row>
      <xdr:rowOff>80963</xdr:rowOff>
    </xdr:from>
    <xdr:to>
      <xdr:col>16</xdr:col>
      <xdr:colOff>9524</xdr:colOff>
      <xdr:row>27</xdr:row>
      <xdr:rowOff>174307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B5E57BB-3C16-45A1-B18F-B17792D315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152400</xdr:colOff>
      <xdr:row>3</xdr:row>
      <xdr:rowOff>80962</xdr:rowOff>
    </xdr:from>
    <xdr:to>
      <xdr:col>30</xdr:col>
      <xdr:colOff>457200</xdr:colOff>
      <xdr:row>17</xdr:row>
      <xdr:rowOff>157162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87F8C7C-7480-41B1-8E93-778707074B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38f5cd2f1f925cfd/Documenti/A%20Real%20Statistics%202020/Examples/Real%20Statistics%20Examples%20Goodness%20of%20Fit%2026%20April%202022.xlsx" TargetMode="External"/><Relationship Id="rId1" Type="http://schemas.openxmlformats.org/officeDocument/2006/relationships/externalLinkPath" Target="/38f5cd2f1f925cfd/Documenti/A%20Real%20Statistics%202020/Examples/Real%20Statistics%20Examples%20Goodness%20of%20Fit%2026%20April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0"/>
      <sheetName val="TOC"/>
      <sheetName val="Norm Histogram"/>
      <sheetName val="Norm QQ Plot 1"/>
      <sheetName val="Norm QQ Plot 2"/>
      <sheetName val="Norm Box Plot"/>
      <sheetName val="Log Trans"/>
      <sheetName val="Norm Chi-sq 1"/>
      <sheetName val="Norm Chi-sq 2"/>
      <sheetName val="KS A"/>
      <sheetName val="KS B"/>
      <sheetName val="Lil"/>
      <sheetName val="Lil 1"/>
      <sheetName val="SW 1"/>
      <sheetName val="SW 2"/>
      <sheetName val="SW 3"/>
      <sheetName val="SW 4"/>
      <sheetName val="DAgost"/>
      <sheetName val="KS 1"/>
      <sheetName val="KS 2"/>
      <sheetName val="KS 3"/>
      <sheetName val="AD 1"/>
      <sheetName val="AD 2"/>
      <sheetName val="AD 3"/>
      <sheetName val="AD2 1"/>
      <sheetName val="AD2 2"/>
      <sheetName val="AD2 2a"/>
      <sheetName val="GOF"/>
      <sheetName val="KS Table"/>
      <sheetName val="KS Table 1"/>
      <sheetName val="KS2 Table"/>
      <sheetName val="Lill Table"/>
      <sheetName val="Lill Table 1"/>
      <sheetName val="SW Table"/>
      <sheetName val="SW Table Formatted"/>
      <sheetName val="AD Table"/>
      <sheetName val="AD2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5">
          <cell r="K5" t="str">
            <v>Sample 1</v>
          </cell>
          <cell r="L5" t="str">
            <v>Sample 2</v>
          </cell>
          <cell r="M5" t="str">
            <v>Sample 3</v>
          </cell>
          <cell r="U5" t="str">
            <v>Sample 1</v>
          </cell>
          <cell r="V5" t="str">
            <v>Sample 2</v>
          </cell>
          <cell r="W5" t="str">
            <v>Sample 3</v>
          </cell>
        </row>
        <row r="6">
          <cell r="J6" t="str">
            <v>Min</v>
          </cell>
          <cell r="K6">
            <v>8</v>
          </cell>
          <cell r="L6">
            <v>3</v>
          </cell>
          <cell r="M6">
            <v>3</v>
          </cell>
          <cell r="T6" t="str">
            <v>Min</v>
          </cell>
          <cell r="U6">
            <v>8</v>
          </cell>
          <cell r="V6">
            <v>3</v>
          </cell>
          <cell r="W6">
            <v>125</v>
          </cell>
        </row>
        <row r="7">
          <cell r="A7">
            <v>95</v>
          </cell>
          <cell r="J7" t="str">
            <v>Q1-Min</v>
          </cell>
          <cell r="K7">
            <v>11</v>
          </cell>
          <cell r="L7">
            <v>20</v>
          </cell>
          <cell r="M7">
            <v>122</v>
          </cell>
          <cell r="T7" t="str">
            <v>Q1-Min</v>
          </cell>
          <cell r="U7">
            <v>11</v>
          </cell>
          <cell r="V7">
            <v>20</v>
          </cell>
          <cell r="W7">
            <v>0</v>
          </cell>
        </row>
        <row r="8">
          <cell r="J8" t="str">
            <v>Med-Q1</v>
          </cell>
          <cell r="K8">
            <v>16</v>
          </cell>
          <cell r="L8">
            <v>4</v>
          </cell>
          <cell r="M8">
            <v>20</v>
          </cell>
          <cell r="T8" t="str">
            <v>Med-Q1</v>
          </cell>
          <cell r="U8">
            <v>16</v>
          </cell>
          <cell r="V8">
            <v>4</v>
          </cell>
          <cell r="W8">
            <v>20</v>
          </cell>
        </row>
        <row r="9">
          <cell r="C9">
            <v>5</v>
          </cell>
          <cell r="J9" t="str">
            <v>Q3-Med</v>
          </cell>
          <cell r="K9">
            <v>13</v>
          </cell>
          <cell r="L9">
            <v>26</v>
          </cell>
          <cell r="M9">
            <v>20</v>
          </cell>
          <cell r="T9" t="str">
            <v>Q3-Med</v>
          </cell>
          <cell r="U9">
            <v>13</v>
          </cell>
          <cell r="V9">
            <v>26</v>
          </cell>
          <cell r="W9">
            <v>20</v>
          </cell>
        </row>
        <row r="10">
          <cell r="K10">
            <v>47</v>
          </cell>
          <cell r="L10">
            <v>72</v>
          </cell>
          <cell r="M10">
            <v>55</v>
          </cell>
          <cell r="U10">
            <v>11</v>
          </cell>
          <cell r="V10">
            <v>19</v>
          </cell>
          <cell r="W10">
            <v>55</v>
          </cell>
        </row>
        <row r="11">
          <cell r="K11">
            <v>36.846153846153847</v>
          </cell>
          <cell r="L11">
            <v>41.153846153846153</v>
          </cell>
          <cell r="M11">
            <v>131</v>
          </cell>
          <cell r="U11">
            <v>36.846153846153847</v>
          </cell>
          <cell r="V11">
            <v>41.153846153846153</v>
          </cell>
          <cell r="W11">
            <v>131</v>
          </cell>
        </row>
        <row r="12">
          <cell r="C12">
            <v>3</v>
          </cell>
        </row>
        <row r="15">
          <cell r="B15">
            <v>125</v>
          </cell>
        </row>
        <row r="16">
          <cell r="C16">
            <v>60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6">
          <cell r="L6">
            <v>0.54749999999999999</v>
          </cell>
          <cell r="O6">
            <v>0.51500000000000001</v>
          </cell>
        </row>
        <row r="7">
          <cell r="L7">
            <v>0.33250000000000002</v>
          </cell>
          <cell r="O7">
            <v>0.3306</v>
          </cell>
        </row>
        <row r="8">
          <cell r="L8">
            <v>0.23469999999999999</v>
          </cell>
          <cell r="O8">
            <v>0.2495</v>
          </cell>
        </row>
        <row r="9">
          <cell r="L9">
            <v>0.15859999999999999</v>
          </cell>
          <cell r="O9">
            <v>0.18779999999999999</v>
          </cell>
        </row>
        <row r="10">
          <cell r="L10">
            <v>9.2200000000000004E-2</v>
          </cell>
          <cell r="O10">
            <v>0.1353</v>
          </cell>
        </row>
        <row r="11">
          <cell r="L11">
            <v>3.0300000000000001E-2</v>
          </cell>
          <cell r="O11">
            <v>8.7999999999999995E-2</v>
          </cell>
        </row>
        <row r="12">
          <cell r="O12">
            <v>4.3299999999999998E-2</v>
          </cell>
        </row>
        <row r="44">
          <cell r="F44">
            <v>0.94299999999999995</v>
          </cell>
          <cell r="G44">
            <v>0.97299999999999998</v>
          </cell>
        </row>
        <row r="47">
          <cell r="C47">
            <v>0.85499999999999998</v>
          </cell>
          <cell r="D47">
            <v>0.88100000000000001</v>
          </cell>
        </row>
      </sheetData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F48DB-830D-4B0E-BE19-A925C348550F}">
  <dimension ref="A1:M10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13" x14ac:dyDescent="0.35">
      <c r="A1" t="s">
        <v>100</v>
      </c>
    </row>
    <row r="2" spans="1:13" x14ac:dyDescent="0.35">
      <c r="A2" t="s">
        <v>68</v>
      </c>
    </row>
    <row r="4" spans="1:13" x14ac:dyDescent="0.35">
      <c r="A4" t="s">
        <v>101</v>
      </c>
      <c r="B4" s="44">
        <v>45482</v>
      </c>
    </row>
    <row r="6" spans="1:13" x14ac:dyDescent="0.35">
      <c r="A6" s="45" t="s">
        <v>102</v>
      </c>
    </row>
    <row r="10" spans="1:13" ht="18.5" x14ac:dyDescent="0.45">
      <c r="M10" s="4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21C24-683F-4D76-8AE0-48A6D053ECBB}">
  <dimension ref="A1:Y21"/>
  <sheetViews>
    <sheetView workbookViewId="0"/>
  </sheetViews>
  <sheetFormatPr defaultRowHeight="14.5" x14ac:dyDescent="0.35"/>
  <cols>
    <col min="6" max="6" width="6.453125" customWidth="1"/>
    <col min="7" max="7" width="9.1796875" customWidth="1"/>
    <col min="26" max="27" width="9.1796875" customWidth="1"/>
  </cols>
  <sheetData>
    <row r="1" spans="1:25" x14ac:dyDescent="0.35">
      <c r="A1" s="1" t="s">
        <v>0</v>
      </c>
      <c r="D1" s="1"/>
      <c r="L1" t="s">
        <v>1</v>
      </c>
      <c r="R1" t="s">
        <v>2</v>
      </c>
    </row>
    <row r="3" spans="1:25" x14ac:dyDescent="0.35">
      <c r="A3" s="2" t="s">
        <v>3</v>
      </c>
      <c r="B3" s="2" t="s">
        <v>4</v>
      </c>
      <c r="D3" t="s">
        <v>5</v>
      </c>
      <c r="E3" s="3">
        <f ca="1">COUNT(B4:B15)</f>
        <v>0</v>
      </c>
      <c r="L3" s="2" t="s">
        <v>6</v>
      </c>
      <c r="M3" s="2" t="s">
        <v>3</v>
      </c>
      <c r="N3" s="2" t="s">
        <v>4</v>
      </c>
      <c r="O3" s="2" t="s">
        <v>7</v>
      </c>
      <c r="R3" s="2" t="s">
        <v>6</v>
      </c>
      <c r="S3" s="2" t="s">
        <v>3</v>
      </c>
      <c r="T3" s="2" t="s">
        <v>4</v>
      </c>
      <c r="U3" s="2" t="s">
        <v>8</v>
      </c>
      <c r="V3" s="2" t="s">
        <v>9</v>
      </c>
      <c r="X3" s="4" t="s">
        <v>5</v>
      </c>
      <c r="Y3" s="5">
        <f>R15</f>
        <v>12</v>
      </c>
    </row>
    <row r="4" spans="1:25" x14ac:dyDescent="0.35">
      <c r="A4" s="6">
        <v>65</v>
      </c>
      <c r="B4" s="6" t="e">
        <f t="array" aca="1" ref="B4:B15" ca="1">QSORT(A4:A15)</f>
        <v>#NAME?</v>
      </c>
      <c r="H4" s="8" t="s">
        <v>10</v>
      </c>
      <c r="I4" s="8" t="s">
        <v>11</v>
      </c>
      <c r="L4" s="6">
        <v>1</v>
      </c>
      <c r="M4" s="6">
        <v>65</v>
      </c>
      <c r="N4" s="6" t="e">
        <f t="array" aca="1" ref="N4:N15" ca="1">QSORT(M4:M15)</f>
        <v>#NAME?</v>
      </c>
      <c r="O4" t="e">
        <f ca="1">SWCoeff(L$15,L4)</f>
        <v>#NAME?</v>
      </c>
      <c r="R4" s="6">
        <v>1</v>
      </c>
      <c r="S4" s="6">
        <v>65</v>
      </c>
      <c r="T4" s="6" t="e">
        <f t="array" aca="1" ref="T4:T15" ca="1">QSORT(S4:S15)</f>
        <v>#NAME?</v>
      </c>
      <c r="U4" s="6">
        <f t="shared" ref="U4:U15" si="0">NORMSINV((R4-0.375)/(Y$3+0.25))</f>
        <v>-1.6350392668017106</v>
      </c>
      <c r="V4">
        <f>-V15</f>
        <v>-0.54743363806786371</v>
      </c>
      <c r="X4" t="s">
        <v>12</v>
      </c>
      <c r="Y4" s="9">
        <f>1/SQRT(Y3)</f>
        <v>0.28867513459481292</v>
      </c>
    </row>
    <row r="5" spans="1:25" x14ac:dyDescent="0.35">
      <c r="A5" s="6">
        <v>61</v>
      </c>
      <c r="B5" s="6" t="e">
        <f ca="1"/>
        <v>#NAME?</v>
      </c>
      <c r="D5" t="s">
        <v>13</v>
      </c>
      <c r="E5" s="5">
        <f>'[1]SW Table'!L6</f>
        <v>0.54749999999999999</v>
      </c>
      <c r="G5" t="s">
        <v>14</v>
      </c>
      <c r="H5" s="10" t="e">
        <f ca="1">B15-B4</f>
        <v>#NAME?</v>
      </c>
      <c r="I5" s="11" t="e">
        <f t="shared" ref="I5:I10" ca="1" si="1">E5*H5</f>
        <v>#NAME?</v>
      </c>
      <c r="L5" s="6">
        <f t="shared" ref="L5:L15" si="2">L4+1</f>
        <v>2</v>
      </c>
      <c r="M5" s="6">
        <v>61</v>
      </c>
      <c r="N5" s="6" t="e">
        <f ca="1"/>
        <v>#NAME?</v>
      </c>
      <c r="O5" t="e">
        <f ca="1">SWCoeff(L$15,L5)</f>
        <v>#NAME?</v>
      </c>
      <c r="R5" s="6">
        <f t="shared" ref="R5:R15" si="3">R4+1</f>
        <v>2</v>
      </c>
      <c r="S5" s="6">
        <v>61</v>
      </c>
      <c r="T5" s="6" t="e">
        <f ca="1"/>
        <v>#NAME?</v>
      </c>
      <c r="U5" s="6">
        <f t="shared" si="0"/>
        <v>-1.1139372153566887</v>
      </c>
      <c r="V5">
        <f>-V14</f>
        <v>-0.33257798186090087</v>
      </c>
      <c r="X5" t="s">
        <v>15</v>
      </c>
      <c r="Y5" s="9">
        <f>SUMSQ(U4:U15)</f>
        <v>9.8723679971015823</v>
      </c>
    </row>
    <row r="6" spans="1:25" x14ac:dyDescent="0.35">
      <c r="A6" s="6">
        <v>63</v>
      </c>
      <c r="B6" s="6" t="e">
        <f ca="1"/>
        <v>#NAME?</v>
      </c>
      <c r="D6" t="s">
        <v>16</v>
      </c>
      <c r="E6" s="9">
        <f>'[1]SW Table'!L7</f>
        <v>0.33250000000000002</v>
      </c>
      <c r="G6" t="s">
        <v>17</v>
      </c>
      <c r="H6" s="12" t="e">
        <f ca="1">B14-B5</f>
        <v>#NAME?</v>
      </c>
      <c r="I6" s="13" t="e">
        <f t="shared" ca="1" si="1"/>
        <v>#NAME?</v>
      </c>
      <c r="L6" s="6">
        <f t="shared" si="2"/>
        <v>3</v>
      </c>
      <c r="M6" s="6">
        <v>63</v>
      </c>
      <c r="N6" s="6" t="e">
        <f ca="1"/>
        <v>#NAME?</v>
      </c>
      <c r="O6" t="e">
        <f ca="1">SWCoeff(L$15,L6)</f>
        <v>#NAME?</v>
      </c>
      <c r="R6" s="6">
        <f t="shared" si="3"/>
        <v>3</v>
      </c>
      <c r="S6" s="6">
        <v>63</v>
      </c>
      <c r="T6" s="6" t="e">
        <f ca="1"/>
        <v>#NAME?</v>
      </c>
      <c r="U6" s="6">
        <f t="shared" si="0"/>
        <v>-0.79163860774337469</v>
      </c>
      <c r="V6">
        <f t="shared" ref="V6:V13" si="4">U6/SQRT(Y$6)</f>
        <v>-0.23454341818808444</v>
      </c>
      <c r="X6" s="14" t="s">
        <v>18</v>
      </c>
      <c r="Y6" s="15">
        <f>(Y5-2*U15^2-2*U14^2)/(1-2*V15^2-2*V14^2)</f>
        <v>11.392195580707302</v>
      </c>
    </row>
    <row r="7" spans="1:25" x14ac:dyDescent="0.35">
      <c r="A7" s="6">
        <v>86</v>
      </c>
      <c r="B7" s="6" t="e">
        <f ca="1"/>
        <v>#NAME?</v>
      </c>
      <c r="D7" t="s">
        <v>19</v>
      </c>
      <c r="E7" s="9">
        <f>'[1]SW Table'!L8</f>
        <v>0.23469999999999999</v>
      </c>
      <c r="G7" t="s">
        <v>20</v>
      </c>
      <c r="H7" s="12" t="e">
        <f ca="1">B13-B6</f>
        <v>#NAME?</v>
      </c>
      <c r="I7" s="13" t="e">
        <f t="shared" ca="1" si="1"/>
        <v>#NAME?</v>
      </c>
      <c r="L7" s="6">
        <f t="shared" si="2"/>
        <v>4</v>
      </c>
      <c r="M7" s="6">
        <v>86</v>
      </c>
      <c r="N7" s="6" t="e">
        <f ca="1"/>
        <v>#NAME?</v>
      </c>
      <c r="O7" t="e">
        <f ca="1">SWCoeff(L$15,L7)</f>
        <v>#NAME?</v>
      </c>
      <c r="R7" s="6">
        <f t="shared" si="3"/>
        <v>4</v>
      </c>
      <c r="S7" s="6">
        <v>86</v>
      </c>
      <c r="T7" s="6" t="e">
        <f ca="1"/>
        <v>#NAME?</v>
      </c>
      <c r="U7" s="6">
        <f t="shared" si="0"/>
        <v>-0.53617626636580651</v>
      </c>
      <c r="V7">
        <f t="shared" si="4"/>
        <v>-0.15885609043656901</v>
      </c>
      <c r="X7" s="14"/>
    </row>
    <row r="8" spans="1:25" x14ac:dyDescent="0.35">
      <c r="A8" s="6">
        <v>70</v>
      </c>
      <c r="B8" s="6" t="e">
        <f ca="1"/>
        <v>#NAME?</v>
      </c>
      <c r="D8" t="s">
        <v>21</v>
      </c>
      <c r="E8" s="9">
        <f>'[1]SW Table'!L9</f>
        <v>0.15859999999999999</v>
      </c>
      <c r="G8" t="s">
        <v>22</v>
      </c>
      <c r="H8" s="12" t="e">
        <f ca="1">B12-B7</f>
        <v>#NAME?</v>
      </c>
      <c r="I8" s="13" t="e">
        <f t="shared" ca="1" si="1"/>
        <v>#NAME?</v>
      </c>
      <c r="L8" s="6">
        <f t="shared" si="2"/>
        <v>5</v>
      </c>
      <c r="M8" s="6">
        <v>70</v>
      </c>
      <c r="N8" s="6" t="e">
        <f ca="1"/>
        <v>#NAME?</v>
      </c>
      <c r="O8" t="e">
        <f ca="1">SWCoeff(L$15,L8)</f>
        <v>#NAME?</v>
      </c>
      <c r="R8" s="6">
        <f t="shared" si="3"/>
        <v>5</v>
      </c>
      <c r="S8" s="6">
        <v>70</v>
      </c>
      <c r="T8" s="6" t="e">
        <f ca="1"/>
        <v>#NAME?</v>
      </c>
      <c r="U8" s="6">
        <f t="shared" si="0"/>
        <v>-0.31191905482032528</v>
      </c>
      <c r="V8">
        <f t="shared" si="4"/>
        <v>-9.2414089712096747E-2</v>
      </c>
    </row>
    <row r="9" spans="1:25" x14ac:dyDescent="0.35">
      <c r="A9" s="6">
        <v>55</v>
      </c>
      <c r="B9" s="6" t="e">
        <f ca="1"/>
        <v>#NAME?</v>
      </c>
      <c r="D9" t="s">
        <v>23</v>
      </c>
      <c r="E9" s="9">
        <f>'[1]SW Table'!L10</f>
        <v>9.2200000000000004E-2</v>
      </c>
      <c r="G9" t="s">
        <v>24</v>
      </c>
      <c r="H9" s="12" t="e">
        <f ca="1">B11-B8</f>
        <v>#NAME?</v>
      </c>
      <c r="I9" s="13" t="e">
        <f t="shared" ca="1" si="1"/>
        <v>#NAME?</v>
      </c>
      <c r="L9" s="6">
        <f t="shared" si="2"/>
        <v>6</v>
      </c>
      <c r="M9" s="6">
        <v>55</v>
      </c>
      <c r="N9" s="6" t="e">
        <f ca="1"/>
        <v>#NAME?</v>
      </c>
      <c r="O9" t="e">
        <f ca="1">SWCoeff(L$15,L9)</f>
        <v>#NAME?</v>
      </c>
      <c r="R9" s="6">
        <f t="shared" si="3"/>
        <v>6</v>
      </c>
      <c r="S9" s="6">
        <v>55</v>
      </c>
      <c r="T9" s="6" t="e">
        <f ca="1"/>
        <v>#NAME?</v>
      </c>
      <c r="U9" s="6">
        <f t="shared" si="0"/>
        <v>-0.10249050769145145</v>
      </c>
      <c r="V9">
        <f t="shared" si="4"/>
        <v>-3.036546445645022E-2</v>
      </c>
      <c r="X9" t="s">
        <v>25</v>
      </c>
      <c r="Y9" s="5" t="e">
        <f ca="1">CORREL(T4:T15,V4:V15)^2</f>
        <v>#NAME?</v>
      </c>
    </row>
    <row r="10" spans="1:25" x14ac:dyDescent="0.35">
      <c r="A10" s="6">
        <v>74</v>
      </c>
      <c r="B10" s="6" t="e">
        <f ca="1"/>
        <v>#NAME?</v>
      </c>
      <c r="D10" t="s">
        <v>26</v>
      </c>
      <c r="E10" s="15">
        <f>'[1]SW Table'!L11</f>
        <v>3.0300000000000001E-2</v>
      </c>
      <c r="G10" t="s">
        <v>27</v>
      </c>
      <c r="H10" s="16" t="e">
        <f ca="1">B10-B9</f>
        <v>#NAME?</v>
      </c>
      <c r="I10" s="17" t="e">
        <f t="shared" ca="1" si="1"/>
        <v>#NAME?</v>
      </c>
      <c r="L10" s="6">
        <f t="shared" si="2"/>
        <v>7</v>
      </c>
      <c r="M10" s="6">
        <v>74</v>
      </c>
      <c r="N10" s="6" t="e">
        <f ca="1"/>
        <v>#NAME?</v>
      </c>
      <c r="O10" t="e">
        <f ca="1">SWCoeff(L$15,L10)</f>
        <v>#NAME?</v>
      </c>
      <c r="R10" s="6">
        <f t="shared" si="3"/>
        <v>7</v>
      </c>
      <c r="S10" s="6">
        <v>74</v>
      </c>
      <c r="T10" s="6" t="e">
        <f ca="1"/>
        <v>#NAME?</v>
      </c>
      <c r="U10" s="6">
        <f t="shared" si="0"/>
        <v>0.10249050769145157</v>
      </c>
      <c r="V10">
        <f t="shared" si="4"/>
        <v>3.0365464456450258E-2</v>
      </c>
      <c r="X10" s="14" t="s">
        <v>28</v>
      </c>
      <c r="Y10" s="9">
        <f>0.0038915*LN(Y3)^3-0.083751*LN(Y3)^2-0.31082*LN(Y3)-1.5861</f>
        <v>-2.8158910709843643</v>
      </c>
    </row>
    <row r="11" spans="1:25" x14ac:dyDescent="0.35">
      <c r="A11" s="6">
        <v>35</v>
      </c>
      <c r="B11" s="6" t="e">
        <f ca="1"/>
        <v>#NAME?</v>
      </c>
      <c r="I11" t="e">
        <f ca="1">SUM(I5:I10)</f>
        <v>#NAME?</v>
      </c>
      <c r="L11" s="6">
        <f t="shared" si="2"/>
        <v>8</v>
      </c>
      <c r="M11" s="6">
        <v>35</v>
      </c>
      <c r="N11" s="6" t="e">
        <f ca="1"/>
        <v>#NAME?</v>
      </c>
      <c r="O11" t="e">
        <f ca="1">SWCoeff(L$15,L11)</f>
        <v>#NAME?</v>
      </c>
      <c r="R11" s="6">
        <f t="shared" si="3"/>
        <v>8</v>
      </c>
      <c r="S11" s="6">
        <v>35</v>
      </c>
      <c r="T11" s="6" t="e">
        <f ca="1"/>
        <v>#NAME?</v>
      </c>
      <c r="U11" s="6">
        <f t="shared" si="0"/>
        <v>0.31191905482032528</v>
      </c>
      <c r="V11">
        <f t="shared" si="4"/>
        <v>9.2414089712096747E-2</v>
      </c>
      <c r="X11" s="14" t="s">
        <v>29</v>
      </c>
      <c r="Y11" s="9">
        <f>EXP(0.0030301*LN(Y3)^2-0.082676*LN(Y3)-0.4803)</f>
        <v>0.51322958557291287</v>
      </c>
    </row>
    <row r="12" spans="1:25" x14ac:dyDescent="0.35">
      <c r="A12" s="6">
        <v>72</v>
      </c>
      <c r="B12" s="6" t="e">
        <f ca="1"/>
        <v>#NAME?</v>
      </c>
      <c r="L12" s="6">
        <f t="shared" si="2"/>
        <v>9</v>
      </c>
      <c r="M12" s="6">
        <v>72</v>
      </c>
      <c r="N12" s="6" t="e">
        <f ca="1"/>
        <v>#NAME?</v>
      </c>
      <c r="O12" t="e">
        <f ca="1">SWCoeff(L$15,L12)</f>
        <v>#NAME?</v>
      </c>
      <c r="R12" s="6">
        <f t="shared" si="3"/>
        <v>9</v>
      </c>
      <c r="S12" s="6">
        <v>72</v>
      </c>
      <c r="T12" s="6" t="e">
        <f ca="1"/>
        <v>#NAME?</v>
      </c>
      <c r="U12" s="6">
        <f t="shared" si="0"/>
        <v>0.53617626636580651</v>
      </c>
      <c r="V12">
        <f t="shared" si="4"/>
        <v>0.15885609043656901</v>
      </c>
      <c r="X12" s="14" t="s">
        <v>30</v>
      </c>
      <c r="Y12" s="9" t="e">
        <f ca="1">STANDARDIZE(LN(1-Y9),Y10,Y11)</f>
        <v>#NAME?</v>
      </c>
    </row>
    <row r="13" spans="1:25" x14ac:dyDescent="0.35">
      <c r="A13" s="6">
        <v>68</v>
      </c>
      <c r="B13" s="6" t="e">
        <f ca="1"/>
        <v>#NAME?</v>
      </c>
      <c r="D13" t="s">
        <v>31</v>
      </c>
      <c r="E13" s="5" t="e">
        <f ca="1">DEVSQ(B4:B15)</f>
        <v>#NAME?</v>
      </c>
      <c r="L13" s="6">
        <f t="shared" si="2"/>
        <v>10</v>
      </c>
      <c r="M13" s="6">
        <v>68</v>
      </c>
      <c r="N13" s="6" t="e">
        <f ca="1"/>
        <v>#NAME?</v>
      </c>
      <c r="O13" t="e">
        <f ca="1">SWCoeff(L$15,L13)</f>
        <v>#NAME?</v>
      </c>
      <c r="R13" s="6">
        <f t="shared" si="3"/>
        <v>10</v>
      </c>
      <c r="S13" s="6">
        <v>68</v>
      </c>
      <c r="T13" s="6" t="e">
        <f ca="1"/>
        <v>#NAME?</v>
      </c>
      <c r="U13" s="6">
        <f t="shared" si="0"/>
        <v>0.79163860774337469</v>
      </c>
      <c r="V13">
        <f t="shared" si="4"/>
        <v>0.23454341818808444</v>
      </c>
      <c r="X13" t="s">
        <v>32</v>
      </c>
      <c r="Y13" s="9" t="e">
        <f ca="1">1-NORMSDIST(Y12)</f>
        <v>#NAME?</v>
      </c>
    </row>
    <row r="14" spans="1:25" x14ac:dyDescent="0.35">
      <c r="A14" s="6">
        <v>45</v>
      </c>
      <c r="B14" s="6" t="e">
        <f ca="1"/>
        <v>#NAME?</v>
      </c>
      <c r="D14" t="s">
        <v>33</v>
      </c>
      <c r="E14" s="9" t="e">
        <f ca="1">I11</f>
        <v>#NAME?</v>
      </c>
      <c r="L14" s="6">
        <f t="shared" si="2"/>
        <v>11</v>
      </c>
      <c r="M14" s="6">
        <v>45</v>
      </c>
      <c r="N14" s="6" t="e">
        <f ca="1"/>
        <v>#NAME?</v>
      </c>
      <c r="O14" t="e">
        <f ca="1">SWCoeff(L$15,L14)</f>
        <v>#NAME?</v>
      </c>
      <c r="R14" s="6">
        <f t="shared" si="3"/>
        <v>11</v>
      </c>
      <c r="S14" s="6">
        <v>45</v>
      </c>
      <c r="T14" s="6" t="e">
        <f ca="1"/>
        <v>#NAME?</v>
      </c>
      <c r="U14" s="6">
        <f t="shared" si="0"/>
        <v>1.1139372153566887</v>
      </c>
      <c r="V14">
        <f>-3.582633*Y4^5+5.682633*Y4^4-1.752461*Y4^3-0.293762*Y4^2+0.042981*Y4+U14/SQRT(Y5)</f>
        <v>0.33257798186090087</v>
      </c>
      <c r="X14" t="s">
        <v>34</v>
      </c>
      <c r="Y14" s="9">
        <v>0.05</v>
      </c>
    </row>
    <row r="15" spans="1:25" ht="16.5" x14ac:dyDescent="0.35">
      <c r="A15" s="7">
        <v>58</v>
      </c>
      <c r="B15" s="7" t="e">
        <f ca="1"/>
        <v>#NAME?</v>
      </c>
      <c r="D15" t="s">
        <v>35</v>
      </c>
      <c r="E15" s="9" t="e">
        <f ca="1">E14^2/E13</f>
        <v>#NAME?</v>
      </c>
      <c r="L15" s="7">
        <f t="shared" si="2"/>
        <v>12</v>
      </c>
      <c r="M15" s="7">
        <v>58</v>
      </c>
      <c r="N15" s="7" t="e">
        <f ca="1"/>
        <v>#NAME?</v>
      </c>
      <c r="O15" s="18" t="e">
        <f ca="1">SWCoeff(L$15,L15)</f>
        <v>#NAME?</v>
      </c>
      <c r="R15" s="7">
        <f t="shared" si="3"/>
        <v>12</v>
      </c>
      <c r="S15" s="7">
        <v>58</v>
      </c>
      <c r="T15" s="7" t="e">
        <f ca="1"/>
        <v>#NAME?</v>
      </c>
      <c r="U15" s="7">
        <f t="shared" si="0"/>
        <v>1.6350392668017109</v>
      </c>
      <c r="V15" s="18">
        <f>-2.70605*Y4^5+4.434685*Y4^4-2.07119*Y4^3-0.147981*Y4^2+0.221157*Y4+U15/SQRT(Y5)</f>
        <v>0.54743363806786371</v>
      </c>
      <c r="X15" t="s">
        <v>36</v>
      </c>
      <c r="Y15" s="19" t="e">
        <f ca="1">IF(Y13&lt;=Y14,"yes","no")</f>
        <v>#NAME?</v>
      </c>
    </row>
    <row r="16" spans="1:25" x14ac:dyDescent="0.35">
      <c r="D16">
        <v>0.5</v>
      </c>
      <c r="E16" s="9">
        <f>'[1]SW Table'!F44</f>
        <v>0.94299999999999995</v>
      </c>
      <c r="U16" s="6"/>
    </row>
    <row r="17" spans="4:16" x14ac:dyDescent="0.35">
      <c r="D17">
        <v>0.9</v>
      </c>
      <c r="E17" s="9">
        <f>'[1]SW Table'!G44</f>
        <v>0.97299999999999998</v>
      </c>
      <c r="L17" t="s">
        <v>25</v>
      </c>
      <c r="M17" s="5" t="e">
        <f ca="1">SHAPIRO(M4:M15)</f>
        <v>#NAME?</v>
      </c>
      <c r="P17" s="20"/>
    </row>
    <row r="18" spans="4:16" x14ac:dyDescent="0.35">
      <c r="D18" t="s">
        <v>32</v>
      </c>
      <c r="E18" s="15" t="e">
        <f ca="1">D17-(D17-D16)*(E17-E15)/(E17-E16)</f>
        <v>#NAME?</v>
      </c>
      <c r="L18" t="s">
        <v>32</v>
      </c>
      <c r="M18" s="9" t="e">
        <f ca="1">SWTEST(M4:M15)</f>
        <v>#NAME?</v>
      </c>
    </row>
    <row r="19" spans="4:16" x14ac:dyDescent="0.35">
      <c r="L19" t="s">
        <v>34</v>
      </c>
      <c r="M19" s="9">
        <v>0.05</v>
      </c>
    </row>
    <row r="20" spans="4:16" x14ac:dyDescent="0.35">
      <c r="D20" t="s">
        <v>25</v>
      </c>
      <c r="E20" s="5" t="e">
        <f ca="1">SHAPIRO(A4:A15,FALSE)</f>
        <v>#NAME?</v>
      </c>
      <c r="G20" t="e">
        <f ca="1">FTEXT(E20)</f>
        <v>#NAME?</v>
      </c>
      <c r="L20" t="s">
        <v>36</v>
      </c>
      <c r="M20" s="19" t="e">
        <f ca="1">IF(M18&lt;=M19,"yes","no")</f>
        <v>#NAME?</v>
      </c>
    </row>
    <row r="21" spans="4:16" x14ac:dyDescent="0.35">
      <c r="D21" t="s">
        <v>32</v>
      </c>
      <c r="E21" s="15" t="e">
        <f ca="1">SWTEST(A4:A15,FALSE)</f>
        <v>#NAME?</v>
      </c>
      <c r="G21" t="e">
        <f ca="1">FTEXT(E21)</f>
        <v>#NAME?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99613-8126-4C18-A95F-3706C35BDFF4}">
  <dimension ref="A1:R47"/>
  <sheetViews>
    <sheetView workbookViewId="0"/>
  </sheetViews>
  <sheetFormatPr defaultRowHeight="14.5" x14ac:dyDescent="0.35"/>
  <cols>
    <col min="5" max="5" width="6.453125" customWidth="1"/>
    <col min="10" max="10" width="10.81640625" customWidth="1"/>
  </cols>
  <sheetData>
    <row r="1" spans="1:18" x14ac:dyDescent="0.35">
      <c r="A1" s="1" t="s">
        <v>0</v>
      </c>
      <c r="C1" s="1"/>
      <c r="O1" s="1" t="s">
        <v>37</v>
      </c>
    </row>
    <row r="3" spans="1:18" x14ac:dyDescent="0.35">
      <c r="A3" s="2" t="s">
        <v>38</v>
      </c>
      <c r="C3" t="s">
        <v>5</v>
      </c>
      <c r="D3" s="3">
        <f>COUNT(A4:A18)</f>
        <v>15</v>
      </c>
      <c r="J3" t="s">
        <v>39</v>
      </c>
      <c r="O3" s="2" t="s">
        <v>38</v>
      </c>
      <c r="Q3" t="s">
        <v>39</v>
      </c>
    </row>
    <row r="4" spans="1:18" x14ac:dyDescent="0.35">
      <c r="A4" s="21">
        <v>1.2</v>
      </c>
      <c r="G4" s="8" t="s">
        <v>10</v>
      </c>
      <c r="H4" s="8" t="s">
        <v>11</v>
      </c>
      <c r="O4" s="21">
        <v>7.6</v>
      </c>
    </row>
    <row r="5" spans="1:18" x14ac:dyDescent="0.35">
      <c r="A5" s="21">
        <v>1.6</v>
      </c>
      <c r="C5" t="s">
        <v>13</v>
      </c>
      <c r="D5" s="22">
        <f>'[1]SW Table'!O6</f>
        <v>0.51500000000000001</v>
      </c>
      <c r="F5" t="s">
        <v>40</v>
      </c>
      <c r="G5" s="23">
        <f>A18-A4</f>
        <v>6.3999999999999995</v>
      </c>
      <c r="H5" s="11">
        <f t="shared" ref="H5:H11" si="0">D5*G5</f>
        <v>3.2959999999999998</v>
      </c>
      <c r="J5" t="s">
        <v>41</v>
      </c>
      <c r="K5" s="5" t="e">
        <f ca="1">SHAPIRO(A4:A18,FALSE)</f>
        <v>#NAME?</v>
      </c>
      <c r="O5" s="21">
        <v>1.6</v>
      </c>
      <c r="Q5" t="s">
        <v>41</v>
      </c>
      <c r="R5" s="5" t="e">
        <f ca="1">SHAPIRO(O4:O18, FALSE)</f>
        <v>#NAME?</v>
      </c>
    </row>
    <row r="6" spans="1:18" x14ac:dyDescent="0.35">
      <c r="A6" s="21">
        <v>1.7</v>
      </c>
      <c r="C6" t="s">
        <v>16</v>
      </c>
      <c r="D6" s="24">
        <f>'[1]SW Table'!O7</f>
        <v>0.3306</v>
      </c>
      <c r="F6" t="s">
        <v>42</v>
      </c>
      <c r="G6" s="25">
        <f>A17-A5</f>
        <v>5</v>
      </c>
      <c r="H6" s="13">
        <f t="shared" si="0"/>
        <v>1.653</v>
      </c>
      <c r="J6" t="s">
        <v>43</v>
      </c>
      <c r="K6" s="9" t="e">
        <f ca="1">SWTEST(A4:A18,FALSE)</f>
        <v>#NAME?</v>
      </c>
      <c r="O6" s="21">
        <v>1.8</v>
      </c>
      <c r="Q6" t="s">
        <v>43</v>
      </c>
      <c r="R6" s="15" t="e">
        <f ca="1">SWTEST(O4:O18,FALSE)</f>
        <v>#NAME?</v>
      </c>
    </row>
    <row r="7" spans="1:18" x14ac:dyDescent="0.35">
      <c r="A7" s="21">
        <v>1.8</v>
      </c>
      <c r="C7" t="s">
        <v>19</v>
      </c>
      <c r="D7" s="24">
        <f>'[1]SW Table'!O8</f>
        <v>0.2495</v>
      </c>
      <c r="F7" t="s">
        <v>44</v>
      </c>
      <c r="G7" s="25">
        <f>A16-A6</f>
        <v>3.8999999999999995</v>
      </c>
      <c r="H7" s="13">
        <f t="shared" si="0"/>
        <v>0.97304999999999986</v>
      </c>
      <c r="J7" t="s">
        <v>45</v>
      </c>
      <c r="K7" s="15" t="e">
        <f ca="1">SWPROB(D3,D16)</f>
        <v>#NAME?</v>
      </c>
      <c r="O7" s="21">
        <v>4</v>
      </c>
    </row>
    <row r="8" spans="1:18" x14ac:dyDescent="0.35">
      <c r="A8" s="21">
        <v>1.9</v>
      </c>
      <c r="C8" t="s">
        <v>21</v>
      </c>
      <c r="D8" s="24">
        <f>'[1]SW Table'!O9</f>
        <v>0.18779999999999999</v>
      </c>
      <c r="F8" t="s">
        <v>46</v>
      </c>
      <c r="G8" s="25">
        <f>A15-A7</f>
        <v>3</v>
      </c>
      <c r="H8" s="13">
        <f t="shared" si="0"/>
        <v>0.56340000000000001</v>
      </c>
      <c r="O8" s="21">
        <v>1.9</v>
      </c>
    </row>
    <row r="9" spans="1:18" x14ac:dyDescent="0.35">
      <c r="A9" s="21">
        <v>2</v>
      </c>
      <c r="C9" t="s">
        <v>23</v>
      </c>
      <c r="D9" s="24">
        <f>'[1]SW Table'!O10</f>
        <v>0.1353</v>
      </c>
      <c r="F9" t="s">
        <v>47</v>
      </c>
      <c r="G9" s="25">
        <f>A14-A8</f>
        <v>2.1</v>
      </c>
      <c r="H9" s="13">
        <f t="shared" si="0"/>
        <v>0.28412999999999999</v>
      </c>
      <c r="O9" s="21">
        <v>2</v>
      </c>
    </row>
    <row r="10" spans="1:18" x14ac:dyDescent="0.35">
      <c r="A10" s="21">
        <v>2.2000000000000002</v>
      </c>
      <c r="C10" t="s">
        <v>26</v>
      </c>
      <c r="D10" s="24">
        <f>'[1]SW Table'!O11</f>
        <v>8.7999999999999995E-2</v>
      </c>
      <c r="F10" t="s">
        <v>48</v>
      </c>
      <c r="G10" s="25">
        <f>A13-A9</f>
        <v>1.5</v>
      </c>
      <c r="H10" s="13">
        <f t="shared" si="0"/>
        <v>0.13200000000000001</v>
      </c>
      <c r="O10" s="21">
        <v>2.6</v>
      </c>
    </row>
    <row r="11" spans="1:18" x14ac:dyDescent="0.35">
      <c r="A11" s="21">
        <v>2.6</v>
      </c>
      <c r="C11" t="s">
        <v>49</v>
      </c>
      <c r="D11" s="26">
        <f>'[1]SW Table'!O12</f>
        <v>4.3299999999999998E-2</v>
      </c>
      <c r="F11" t="s">
        <v>50</v>
      </c>
      <c r="G11" s="27">
        <f>A12-A10</f>
        <v>0.79999999999999982</v>
      </c>
      <c r="H11" s="17">
        <f t="shared" si="0"/>
        <v>3.463999999999999E-2</v>
      </c>
      <c r="O11" s="21">
        <v>2.2000000000000002</v>
      </c>
    </row>
    <row r="12" spans="1:18" x14ac:dyDescent="0.35">
      <c r="A12" s="21">
        <v>3</v>
      </c>
      <c r="H12">
        <f>SUM(H5:H11)</f>
        <v>6.9362199999999987</v>
      </c>
      <c r="O12" s="21">
        <v>3</v>
      </c>
    </row>
    <row r="13" spans="1:18" x14ac:dyDescent="0.35">
      <c r="A13" s="21">
        <v>3.5</v>
      </c>
      <c r="O13" s="21">
        <v>3.5</v>
      </c>
    </row>
    <row r="14" spans="1:18" x14ac:dyDescent="0.35">
      <c r="A14" s="21">
        <v>4</v>
      </c>
      <c r="C14" t="s">
        <v>31</v>
      </c>
      <c r="D14" s="5">
        <f>DEVSQ(A4:A18)</f>
        <v>54.975999999999999</v>
      </c>
      <c r="O14" s="21">
        <v>1.7</v>
      </c>
    </row>
    <row r="15" spans="1:18" x14ac:dyDescent="0.35">
      <c r="A15" s="21">
        <v>4.8</v>
      </c>
      <c r="C15" t="s">
        <v>33</v>
      </c>
      <c r="D15" s="9">
        <f>H12</f>
        <v>6.9362199999999987</v>
      </c>
      <c r="O15" s="21">
        <v>4.8</v>
      </c>
    </row>
    <row r="16" spans="1:18" ht="16.5" x14ac:dyDescent="0.35">
      <c r="A16" s="21">
        <v>5.6</v>
      </c>
      <c r="C16" t="s">
        <v>35</v>
      </c>
      <c r="D16" s="9">
        <f>D15^2/D14</f>
        <v>0.87513001834254922</v>
      </c>
      <c r="O16" s="21">
        <v>5.6</v>
      </c>
    </row>
    <row r="17" spans="1:15" x14ac:dyDescent="0.35">
      <c r="A17" s="21">
        <v>6.6</v>
      </c>
      <c r="C17">
        <v>0.02</v>
      </c>
      <c r="D17" s="9">
        <f>'[1]SW Table'!C47</f>
        <v>0.85499999999999998</v>
      </c>
      <c r="O17" s="21">
        <v>6.6</v>
      </c>
    </row>
    <row r="18" spans="1:15" x14ac:dyDescent="0.35">
      <c r="A18" s="28">
        <v>7.6</v>
      </c>
      <c r="C18">
        <v>0.05</v>
      </c>
      <c r="D18" s="9">
        <f>'[1]SW Table'!D47</f>
        <v>0.88100000000000001</v>
      </c>
      <c r="O18" s="28">
        <v>1.2</v>
      </c>
    </row>
    <row r="19" spans="1:15" x14ac:dyDescent="0.35">
      <c r="C19" t="s">
        <v>32</v>
      </c>
      <c r="D19" s="9">
        <f>C18-(C18-C17)*(D18-D16)/(D18-D17)</f>
        <v>4.3226944241402949E-2</v>
      </c>
    </row>
    <row r="20" spans="1:15" x14ac:dyDescent="0.35">
      <c r="C20" t="s">
        <v>34</v>
      </c>
      <c r="D20" s="9">
        <v>0.05</v>
      </c>
    </row>
    <row r="21" spans="1:15" x14ac:dyDescent="0.35">
      <c r="C21" t="s">
        <v>36</v>
      </c>
      <c r="D21" s="19" t="str">
        <f>IF(D19&lt;=D20,"yes","no")</f>
        <v>yes</v>
      </c>
    </row>
    <row r="24" spans="1:15" x14ac:dyDescent="0.35">
      <c r="A24" t="s">
        <v>51</v>
      </c>
      <c r="I24" t="s">
        <v>52</v>
      </c>
    </row>
    <row r="26" spans="1:15" x14ac:dyDescent="0.35">
      <c r="A26" s="2" t="s">
        <v>6</v>
      </c>
      <c r="B26" s="2" t="s">
        <v>38</v>
      </c>
      <c r="C26" s="2" t="s">
        <v>4</v>
      </c>
      <c r="D26" s="2" t="s">
        <v>7</v>
      </c>
      <c r="J26" t="s">
        <v>53</v>
      </c>
    </row>
    <row r="27" spans="1:15" x14ac:dyDescent="0.35">
      <c r="A27" s="6">
        <v>1</v>
      </c>
      <c r="B27" s="21">
        <f t="shared" ref="B27:B41" si="1">A4</f>
        <v>1.2</v>
      </c>
      <c r="C27" s="6" t="e">
        <f t="array" aca="1" ref="C27:C41" ca="1">QSORT(B27:B41)</f>
        <v>#NAME?</v>
      </c>
      <c r="D27" t="e">
        <f ca="1">SWCoeff(A$41,A27)</f>
        <v>#NAME?</v>
      </c>
      <c r="J27" s="5" t="e">
        <f t="shared" ref="J27:J41" ca="1" si="2">C27*D27</f>
        <v>#NAME?</v>
      </c>
    </row>
    <row r="28" spans="1:15" x14ac:dyDescent="0.35">
      <c r="A28" s="6">
        <f t="shared" ref="A28:A41" si="3">A27+1</f>
        <v>2</v>
      </c>
      <c r="B28" s="21">
        <f t="shared" si="1"/>
        <v>1.6</v>
      </c>
      <c r="C28" s="6" t="e">
        <f ca="1"/>
        <v>#NAME?</v>
      </c>
      <c r="D28" t="e">
        <f ca="1">SWCoeff(A$41,A28)</f>
        <v>#NAME?</v>
      </c>
      <c r="J28" s="9" t="e">
        <f t="shared" ca="1" si="2"/>
        <v>#NAME?</v>
      </c>
    </row>
    <row r="29" spans="1:15" x14ac:dyDescent="0.35">
      <c r="A29" s="6">
        <f t="shared" si="3"/>
        <v>3</v>
      </c>
      <c r="B29" s="21">
        <f t="shared" si="1"/>
        <v>1.7</v>
      </c>
      <c r="C29" s="6" t="e">
        <f ca="1"/>
        <v>#NAME?</v>
      </c>
      <c r="D29" t="e">
        <f ca="1">SWCoeff(A$41,A29)</f>
        <v>#NAME?</v>
      </c>
      <c r="J29" s="9" t="e">
        <f t="shared" ca="1" si="2"/>
        <v>#NAME?</v>
      </c>
    </row>
    <row r="30" spans="1:15" x14ac:dyDescent="0.35">
      <c r="A30" s="6">
        <f t="shared" si="3"/>
        <v>4</v>
      </c>
      <c r="B30" s="21">
        <f t="shared" si="1"/>
        <v>1.8</v>
      </c>
      <c r="C30" s="6" t="e">
        <f ca="1"/>
        <v>#NAME?</v>
      </c>
      <c r="D30" t="e">
        <f ca="1">SWCoeff(A$41,A30)</f>
        <v>#NAME?</v>
      </c>
      <c r="J30" s="9" t="e">
        <f t="shared" ca="1" si="2"/>
        <v>#NAME?</v>
      </c>
    </row>
    <row r="31" spans="1:15" x14ac:dyDescent="0.35">
      <c r="A31" s="6">
        <f t="shared" si="3"/>
        <v>5</v>
      </c>
      <c r="B31" s="21">
        <f t="shared" si="1"/>
        <v>1.9</v>
      </c>
      <c r="C31" s="6" t="e">
        <f ca="1"/>
        <v>#NAME?</v>
      </c>
      <c r="D31" t="e">
        <f ca="1">SWCoeff(A$41,A31)</f>
        <v>#NAME?</v>
      </c>
      <c r="J31" s="9" t="e">
        <f t="shared" ca="1" si="2"/>
        <v>#NAME?</v>
      </c>
    </row>
    <row r="32" spans="1:15" x14ac:dyDescent="0.35">
      <c r="A32" s="6">
        <f t="shared" si="3"/>
        <v>6</v>
      </c>
      <c r="B32" s="21">
        <f t="shared" si="1"/>
        <v>2</v>
      </c>
      <c r="C32" s="6" t="e">
        <f ca="1"/>
        <v>#NAME?</v>
      </c>
      <c r="D32" t="e">
        <f ca="1">SWCoeff(A$41,A32)</f>
        <v>#NAME?</v>
      </c>
      <c r="J32" s="9" t="e">
        <f t="shared" ca="1" si="2"/>
        <v>#NAME?</v>
      </c>
    </row>
    <row r="33" spans="1:10" x14ac:dyDescent="0.35">
      <c r="A33" s="6">
        <f t="shared" si="3"/>
        <v>7</v>
      </c>
      <c r="B33" s="21">
        <f t="shared" si="1"/>
        <v>2.2000000000000002</v>
      </c>
      <c r="C33" s="6" t="e">
        <f ca="1"/>
        <v>#NAME?</v>
      </c>
      <c r="D33" t="e">
        <f ca="1">SWCoeff(A$41,A33)</f>
        <v>#NAME?</v>
      </c>
      <c r="J33" s="9" t="e">
        <f t="shared" ca="1" si="2"/>
        <v>#NAME?</v>
      </c>
    </row>
    <row r="34" spans="1:10" x14ac:dyDescent="0.35">
      <c r="A34" s="6">
        <f t="shared" si="3"/>
        <v>8</v>
      </c>
      <c r="B34" s="21">
        <f t="shared" si="1"/>
        <v>2.6</v>
      </c>
      <c r="C34" s="6" t="e">
        <f ca="1"/>
        <v>#NAME?</v>
      </c>
      <c r="D34" t="e">
        <f ca="1">SWCoeff(A$41,A34)</f>
        <v>#NAME?</v>
      </c>
      <c r="J34" s="9" t="e">
        <f t="shared" ca="1" si="2"/>
        <v>#NAME?</v>
      </c>
    </row>
    <row r="35" spans="1:10" x14ac:dyDescent="0.35">
      <c r="A35" s="6">
        <f t="shared" si="3"/>
        <v>9</v>
      </c>
      <c r="B35" s="21">
        <f t="shared" si="1"/>
        <v>3</v>
      </c>
      <c r="C35" s="6" t="e">
        <f ca="1"/>
        <v>#NAME?</v>
      </c>
      <c r="D35" t="e">
        <f ca="1">SWCoeff(A$41,A35)</f>
        <v>#NAME?</v>
      </c>
      <c r="J35" s="9" t="e">
        <f t="shared" ca="1" si="2"/>
        <v>#NAME?</v>
      </c>
    </row>
    <row r="36" spans="1:10" x14ac:dyDescent="0.35">
      <c r="A36" s="6">
        <f t="shared" si="3"/>
        <v>10</v>
      </c>
      <c r="B36" s="21">
        <f t="shared" si="1"/>
        <v>3.5</v>
      </c>
      <c r="C36" s="6" t="e">
        <f ca="1"/>
        <v>#NAME?</v>
      </c>
      <c r="D36" t="e">
        <f ca="1">SWCoeff(A$41,A36)</f>
        <v>#NAME?</v>
      </c>
      <c r="J36" s="9" t="e">
        <f t="shared" ca="1" si="2"/>
        <v>#NAME?</v>
      </c>
    </row>
    <row r="37" spans="1:10" x14ac:dyDescent="0.35">
      <c r="A37" s="6">
        <f t="shared" si="3"/>
        <v>11</v>
      </c>
      <c r="B37" s="21">
        <f t="shared" si="1"/>
        <v>4</v>
      </c>
      <c r="C37" s="6" t="e">
        <f ca="1"/>
        <v>#NAME?</v>
      </c>
      <c r="D37" t="e">
        <f ca="1">SWCoeff(A$41,A37)</f>
        <v>#NAME?</v>
      </c>
      <c r="J37" s="9" t="e">
        <f t="shared" ca="1" si="2"/>
        <v>#NAME?</v>
      </c>
    </row>
    <row r="38" spans="1:10" x14ac:dyDescent="0.35">
      <c r="A38" s="6">
        <f t="shared" si="3"/>
        <v>12</v>
      </c>
      <c r="B38" s="21">
        <f t="shared" si="1"/>
        <v>4.8</v>
      </c>
      <c r="C38" s="6" t="e">
        <f ca="1"/>
        <v>#NAME?</v>
      </c>
      <c r="D38" t="e">
        <f ca="1">SWCoeff(A$41,A38)</f>
        <v>#NAME?</v>
      </c>
      <c r="J38" s="9" t="e">
        <f t="shared" ca="1" si="2"/>
        <v>#NAME?</v>
      </c>
    </row>
    <row r="39" spans="1:10" x14ac:dyDescent="0.35">
      <c r="A39" s="6">
        <f t="shared" si="3"/>
        <v>13</v>
      </c>
      <c r="B39" s="21">
        <f t="shared" si="1"/>
        <v>5.6</v>
      </c>
      <c r="C39" s="6" t="e">
        <f ca="1"/>
        <v>#NAME?</v>
      </c>
      <c r="D39" t="e">
        <f ca="1">SWCoeff(A$41,A39)</f>
        <v>#NAME?</v>
      </c>
      <c r="J39" s="9" t="e">
        <f t="shared" ca="1" si="2"/>
        <v>#NAME?</v>
      </c>
    </row>
    <row r="40" spans="1:10" x14ac:dyDescent="0.35">
      <c r="A40" s="6">
        <f t="shared" si="3"/>
        <v>14</v>
      </c>
      <c r="B40" s="21">
        <f t="shared" si="1"/>
        <v>6.6</v>
      </c>
      <c r="C40" s="6" t="e">
        <f ca="1"/>
        <v>#NAME?</v>
      </c>
      <c r="D40" t="e">
        <f ca="1">SWCoeff(A$41,A40)</f>
        <v>#NAME?</v>
      </c>
      <c r="J40" s="9" t="e">
        <f t="shared" ca="1" si="2"/>
        <v>#NAME?</v>
      </c>
    </row>
    <row r="41" spans="1:10" x14ac:dyDescent="0.35">
      <c r="A41" s="7">
        <f t="shared" si="3"/>
        <v>15</v>
      </c>
      <c r="B41" s="7">
        <f t="shared" si="1"/>
        <v>7.6</v>
      </c>
      <c r="C41" s="7" t="e">
        <f ca="1"/>
        <v>#NAME?</v>
      </c>
      <c r="D41" s="18" t="e">
        <f ca="1">SWCoeff(A$41,A41)</f>
        <v>#NAME?</v>
      </c>
      <c r="J41" s="15" t="e">
        <f t="shared" ca="1" si="2"/>
        <v>#NAME?</v>
      </c>
    </row>
    <row r="42" spans="1:10" x14ac:dyDescent="0.35">
      <c r="A42" s="6"/>
      <c r="B42" s="21"/>
      <c r="C42" s="6"/>
      <c r="I42" t="s">
        <v>54</v>
      </c>
      <c r="J42" t="e">
        <f ca="1">SUM(J27:J41)^2</f>
        <v>#NAME?</v>
      </c>
    </row>
    <row r="43" spans="1:10" x14ac:dyDescent="0.35">
      <c r="I43" t="s">
        <v>55</v>
      </c>
      <c r="J43">
        <f>DEVSQ(B27:B41)</f>
        <v>54.975999999999999</v>
      </c>
    </row>
    <row r="44" spans="1:10" x14ac:dyDescent="0.35">
      <c r="A44" t="s">
        <v>25</v>
      </c>
      <c r="B44" s="5" t="e">
        <f ca="1">CORREL(C27:C41,D27:D41)^2</f>
        <v>#NAME?</v>
      </c>
      <c r="D44" s="3" t="e">
        <f ca="1">SHAPIRO(B27:B41)</f>
        <v>#NAME?</v>
      </c>
      <c r="E44" s="20" t="s">
        <v>56</v>
      </c>
      <c r="I44" t="s">
        <v>25</v>
      </c>
      <c r="J44" s="3" t="e">
        <f ca="1">J42/J43</f>
        <v>#NAME?</v>
      </c>
    </row>
    <row r="45" spans="1:10" x14ac:dyDescent="0.35">
      <c r="A45" t="s">
        <v>32</v>
      </c>
      <c r="B45" s="9" t="e">
        <f ca="1">SWTEST(B27:B41)</f>
        <v>#NAME?</v>
      </c>
    </row>
    <row r="46" spans="1:10" x14ac:dyDescent="0.35">
      <c r="A46" t="s">
        <v>34</v>
      </c>
      <c r="B46" s="9">
        <v>0.05</v>
      </c>
    </row>
    <row r="47" spans="1:10" x14ac:dyDescent="0.35">
      <c r="A47" t="s">
        <v>36</v>
      </c>
      <c r="B47" s="19" t="e">
        <f ca="1">IF(B45&lt;=B46,"yes","no")</f>
        <v>#NAME?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2387C-83DA-4C38-9070-BD2B215287A2}">
  <dimension ref="A1:T62"/>
  <sheetViews>
    <sheetView workbookViewId="0"/>
  </sheetViews>
  <sheetFormatPr defaultRowHeight="14.5" x14ac:dyDescent="0.35"/>
  <cols>
    <col min="6" max="6" width="3.54296875" customWidth="1"/>
    <col min="12" max="12" width="3.54296875" customWidth="1"/>
  </cols>
  <sheetData>
    <row r="1" spans="1:20" x14ac:dyDescent="0.35">
      <c r="A1" s="1" t="s">
        <v>0</v>
      </c>
    </row>
    <row r="2" spans="1:20" x14ac:dyDescent="0.35">
      <c r="G2" t="s">
        <v>57</v>
      </c>
      <c r="M2" t="s">
        <v>58</v>
      </c>
      <c r="S2" s="6" t="s">
        <v>38</v>
      </c>
      <c r="T2" s="6" t="s">
        <v>7</v>
      </c>
    </row>
    <row r="3" spans="1:20" x14ac:dyDescent="0.35">
      <c r="A3" s="10">
        <v>8.4922377693316964</v>
      </c>
      <c r="B3" s="29">
        <v>8.1450105174162886</v>
      </c>
      <c r="C3" s="29">
        <v>3.539420519589588</v>
      </c>
      <c r="D3" s="29">
        <v>9.7523650912542141</v>
      </c>
      <c r="E3" s="11">
        <v>5.5249126109432565</v>
      </c>
      <c r="G3" s="10" t="e">
        <f t="array" aca="1" ref="G3:K14" ca="1">QSORT(A3:E14)</f>
        <v>#NAME?</v>
      </c>
      <c r="H3" s="29" t="e">
        <f ca="1"/>
        <v>#NAME?</v>
      </c>
      <c r="I3" s="29" t="e">
        <f ca="1"/>
        <v>#NAME?</v>
      </c>
      <c r="J3" s="29" t="e">
        <f ca="1"/>
        <v>#NAME?</v>
      </c>
      <c r="K3" s="11" t="e">
        <f ca="1"/>
        <v>#NAME?</v>
      </c>
      <c r="M3" s="10" t="e">
        <f ca="1">SWCoeff($G$3:$K$14,G3)</f>
        <v>#NAME?</v>
      </c>
      <c r="N3" s="29" t="e">
        <f ca="1">SWCoeff($G$3:$K$14,H3)</f>
        <v>#NAME?</v>
      </c>
      <c r="O3" s="29" t="e">
        <f ca="1">SWCoeff($G$3:$K$14,I3)</f>
        <v>#NAME?</v>
      </c>
      <c r="P3" s="29" t="e">
        <f ca="1">SWCoeff($G$3:$K$14,J3)</f>
        <v>#NAME?</v>
      </c>
      <c r="Q3" s="11" t="e">
        <f ca="1">SWCoeff($G$3:$K$14,K3)</f>
        <v>#NAME?</v>
      </c>
      <c r="S3" s="5" t="e">
        <f t="array" aca="1" ref="S3:S62" ca="1">QSORT(A3:E14)</f>
        <v>#NAME?</v>
      </c>
      <c r="T3" s="5" t="e">
        <f ca="1">SWCoeff(COUNT(S$3:S$62),ROW(S3)-ROW(S$3)+1)</f>
        <v>#NAME?</v>
      </c>
    </row>
    <row r="4" spans="1:20" x14ac:dyDescent="0.35">
      <c r="A4" s="12">
        <v>6.2106962658196636</v>
      </c>
      <c r="B4">
        <v>5.4379833683016674</v>
      </c>
      <c r="C4">
        <v>3.9967154745588429E-2</v>
      </c>
      <c r="D4">
        <v>2.9373192731705253</v>
      </c>
      <c r="E4" s="13">
        <v>5.1962569330620525</v>
      </c>
      <c r="G4" s="12" t="e">
        <f ca="1"/>
        <v>#NAME?</v>
      </c>
      <c r="H4" t="e">
        <f ca="1"/>
        <v>#NAME?</v>
      </c>
      <c r="I4" t="e">
        <f ca="1"/>
        <v>#NAME?</v>
      </c>
      <c r="J4" t="e">
        <f ca="1"/>
        <v>#NAME?</v>
      </c>
      <c r="K4" s="13" t="e">
        <f ca="1"/>
        <v>#NAME?</v>
      </c>
      <c r="M4" s="12" t="e">
        <f ca="1">SWCoeff($G$3:$K$14,G4)</f>
        <v>#NAME?</v>
      </c>
      <c r="N4" t="e">
        <f ca="1">SWCoeff($G$3:$K$14,H4)</f>
        <v>#NAME?</v>
      </c>
      <c r="O4" t="e">
        <f ca="1">SWCoeff($G$3:$K$14,I4)</f>
        <v>#NAME?</v>
      </c>
      <c r="P4" t="e">
        <f ca="1">SWCoeff($G$3:$K$14,J4)</f>
        <v>#NAME?</v>
      </c>
      <c r="Q4" s="13" t="e">
        <f ca="1">SWCoeff($G$3:$K$14,K4)</f>
        <v>#NAME?</v>
      </c>
      <c r="S4" s="9" t="e">
        <f ca="1"/>
        <v>#NAME?</v>
      </c>
      <c r="T4" s="9" t="e">
        <f ca="1">SWCoeff(COUNT(S$3:S$62),ROW(S4)-ROW(S$3)+1)</f>
        <v>#NAME?</v>
      </c>
    </row>
    <row r="5" spans="1:20" x14ac:dyDescent="0.35">
      <c r="A5" s="12">
        <v>7.9798122586520721</v>
      </c>
      <c r="B5">
        <v>0.69688819978291716</v>
      </c>
      <c r="C5">
        <v>8.5026264594764029</v>
      </c>
      <c r="D5">
        <v>7.7327562520013347</v>
      </c>
      <c r="E5" s="13">
        <v>1.8664950703863368</v>
      </c>
      <c r="G5" s="12" t="e">
        <f ca="1"/>
        <v>#NAME?</v>
      </c>
      <c r="H5" t="e">
        <f ca="1"/>
        <v>#NAME?</v>
      </c>
      <c r="I5" t="e">
        <f ca="1"/>
        <v>#NAME?</v>
      </c>
      <c r="J5" t="e">
        <f ca="1"/>
        <v>#NAME?</v>
      </c>
      <c r="K5" s="13" t="e">
        <f ca="1"/>
        <v>#NAME?</v>
      </c>
      <c r="M5" s="12" t="e">
        <f ca="1">SWCoeff($G$3:$K$14,G5)</f>
        <v>#NAME?</v>
      </c>
      <c r="N5" t="e">
        <f ca="1">SWCoeff($G$3:$K$14,H5)</f>
        <v>#NAME?</v>
      </c>
      <c r="O5" t="e">
        <f ca="1">SWCoeff($G$3:$K$14,I5)</f>
        <v>#NAME?</v>
      </c>
      <c r="P5" t="e">
        <f ca="1">SWCoeff($G$3:$K$14,J5)</f>
        <v>#NAME?</v>
      </c>
      <c r="Q5" s="13" t="e">
        <f ca="1">SWCoeff($G$3:$K$14,K5)</f>
        <v>#NAME?</v>
      </c>
      <c r="S5" s="9" t="e">
        <f ca="1"/>
        <v>#NAME?</v>
      </c>
      <c r="T5" s="9" t="e">
        <f ca="1">SWCoeff(COUNT(S$3:S$62),ROW(S5)-ROW(S$3)+1)</f>
        <v>#NAME?</v>
      </c>
    </row>
    <row r="6" spans="1:20" x14ac:dyDescent="0.35">
      <c r="A6" s="12">
        <v>4.0754988108121246</v>
      </c>
      <c r="B6">
        <v>2.958657355861213</v>
      </c>
      <c r="C6">
        <v>8.6870703312754252</v>
      </c>
      <c r="D6">
        <v>3.3216043809734073</v>
      </c>
      <c r="E6" s="13">
        <v>0.7009516364142806</v>
      </c>
      <c r="G6" s="12" t="e">
        <f ca="1"/>
        <v>#NAME?</v>
      </c>
      <c r="H6" t="e">
        <f ca="1"/>
        <v>#NAME?</v>
      </c>
      <c r="I6" t="e">
        <f ca="1"/>
        <v>#NAME?</v>
      </c>
      <c r="J6" t="e">
        <f ca="1"/>
        <v>#NAME?</v>
      </c>
      <c r="K6" s="13" t="e">
        <f ca="1"/>
        <v>#NAME?</v>
      </c>
      <c r="M6" s="12" t="e">
        <f ca="1">SWCoeff($G$3:$K$14,G6)</f>
        <v>#NAME?</v>
      </c>
      <c r="N6" t="e">
        <f ca="1">SWCoeff($G$3:$K$14,H6)</f>
        <v>#NAME?</v>
      </c>
      <c r="O6" t="e">
        <f ca="1">SWCoeff($G$3:$K$14,I6)</f>
        <v>#NAME?</v>
      </c>
      <c r="P6" t="e">
        <f ca="1">SWCoeff($G$3:$K$14,J6)</f>
        <v>#NAME?</v>
      </c>
      <c r="Q6" s="13" t="e">
        <f ca="1">SWCoeff($G$3:$K$14,K6)</f>
        <v>#NAME?</v>
      </c>
      <c r="S6" s="9" t="e">
        <f ca="1"/>
        <v>#NAME?</v>
      </c>
      <c r="T6" s="9" t="e">
        <f ca="1">SWCoeff(COUNT(S$3:S$62),ROW(S6)-ROW(S$3)+1)</f>
        <v>#NAME?</v>
      </c>
    </row>
    <row r="7" spans="1:20" x14ac:dyDescent="0.35">
      <c r="A7" s="12">
        <v>9.6155765567075289</v>
      </c>
      <c r="B7">
        <v>9.7960249046247032</v>
      </c>
      <c r="C7">
        <v>6.1175948069449211</v>
      </c>
      <c r="D7">
        <v>2.3249947726383962</v>
      </c>
      <c r="E7" s="13">
        <v>5.8490040774692229</v>
      </c>
      <c r="G7" s="12" t="e">
        <f ca="1"/>
        <v>#NAME?</v>
      </c>
      <c r="H7" t="e">
        <f ca="1"/>
        <v>#NAME?</v>
      </c>
      <c r="I7" t="e">
        <f ca="1"/>
        <v>#NAME?</v>
      </c>
      <c r="J7" t="e">
        <f ca="1"/>
        <v>#NAME?</v>
      </c>
      <c r="K7" s="13" t="e">
        <f ca="1"/>
        <v>#NAME?</v>
      </c>
      <c r="M7" s="12" t="e">
        <f ca="1">SWCoeff($G$3:$K$14,G7)</f>
        <v>#NAME?</v>
      </c>
      <c r="N7" t="e">
        <f ca="1">SWCoeff($G$3:$K$14,H7)</f>
        <v>#NAME?</v>
      </c>
      <c r="O7" t="e">
        <f ca="1">SWCoeff($G$3:$K$14,I7)</f>
        <v>#NAME?</v>
      </c>
      <c r="P7" t="e">
        <f ca="1">SWCoeff($G$3:$K$14,J7)</f>
        <v>#NAME?</v>
      </c>
      <c r="Q7" s="13" t="e">
        <f ca="1">SWCoeff($G$3:$K$14,K7)</f>
        <v>#NAME?</v>
      </c>
      <c r="S7" s="9" t="e">
        <f ca="1"/>
        <v>#NAME?</v>
      </c>
      <c r="T7" s="9" t="e">
        <f ca="1">SWCoeff(COUNT(S$3:S$62),ROW(S7)-ROW(S$3)+1)</f>
        <v>#NAME?</v>
      </c>
    </row>
    <row r="8" spans="1:20" x14ac:dyDescent="0.35">
      <c r="A8" s="12">
        <v>8.722007923503778</v>
      </c>
      <c r="B8">
        <v>9.8253870894335069</v>
      </c>
      <c r="C8">
        <v>4.317177824423295</v>
      </c>
      <c r="D8">
        <v>3.3540912361714339</v>
      </c>
      <c r="E8" s="13">
        <v>7.6090535575503342</v>
      </c>
      <c r="G8" s="12" t="e">
        <f ca="1"/>
        <v>#NAME?</v>
      </c>
      <c r="H8" t="e">
        <f ca="1"/>
        <v>#NAME?</v>
      </c>
      <c r="I8" t="e">
        <f ca="1"/>
        <v>#NAME?</v>
      </c>
      <c r="J8" t="e">
        <f ca="1"/>
        <v>#NAME?</v>
      </c>
      <c r="K8" s="13" t="e">
        <f ca="1"/>
        <v>#NAME?</v>
      </c>
      <c r="M8" s="12" t="e">
        <f ca="1">SWCoeff($G$3:$K$14,G8)</f>
        <v>#NAME?</v>
      </c>
      <c r="N8" t="e">
        <f ca="1">SWCoeff($G$3:$K$14,H8)</f>
        <v>#NAME?</v>
      </c>
      <c r="O8" t="e">
        <f ca="1">SWCoeff($G$3:$K$14,I8)</f>
        <v>#NAME?</v>
      </c>
      <c r="P8" t="e">
        <f ca="1">SWCoeff($G$3:$K$14,J8)</f>
        <v>#NAME?</v>
      </c>
      <c r="Q8" s="13" t="e">
        <f ca="1">SWCoeff($G$3:$K$14,K8)</f>
        <v>#NAME?</v>
      </c>
      <c r="S8" s="9" t="e">
        <f ca="1"/>
        <v>#NAME?</v>
      </c>
      <c r="T8" s="9" t="e">
        <f ca="1">SWCoeff(COUNT(S$3:S$62),ROW(S8)-ROW(S$3)+1)</f>
        <v>#NAME?</v>
      </c>
    </row>
    <row r="9" spans="1:20" x14ac:dyDescent="0.35">
      <c r="A9" s="12">
        <v>1.1968857743394818</v>
      </c>
      <c r="B9">
        <v>5.7666368492506228</v>
      </c>
      <c r="C9">
        <v>1.6615082716212748</v>
      </c>
      <c r="D9">
        <v>4.1386181977472392</v>
      </c>
      <c r="E9" s="13">
        <v>7.2904177928907528</v>
      </c>
      <c r="G9" s="12" t="e">
        <f ca="1"/>
        <v>#NAME?</v>
      </c>
      <c r="H9" t="e">
        <f ca="1"/>
        <v>#NAME?</v>
      </c>
      <c r="I9" t="e">
        <f ca="1"/>
        <v>#NAME?</v>
      </c>
      <c r="J9" t="e">
        <f ca="1"/>
        <v>#NAME?</v>
      </c>
      <c r="K9" s="13" t="e">
        <f ca="1"/>
        <v>#NAME?</v>
      </c>
      <c r="M9" s="12" t="e">
        <f ca="1">SWCoeff($G$3:$K$14,G9)</f>
        <v>#NAME?</v>
      </c>
      <c r="N9" t="e">
        <f ca="1">SWCoeff($G$3:$K$14,H9)</f>
        <v>#NAME?</v>
      </c>
      <c r="O9" t="e">
        <f ca="1">SWCoeff($G$3:$K$14,I9)</f>
        <v>#NAME?</v>
      </c>
      <c r="P9" t="e">
        <f ca="1">SWCoeff($G$3:$K$14,J9)</f>
        <v>#NAME?</v>
      </c>
      <c r="Q9" s="13" t="e">
        <f ca="1">SWCoeff($G$3:$K$14,K9)</f>
        <v>#NAME?</v>
      </c>
      <c r="S9" s="9" t="e">
        <f ca="1"/>
        <v>#NAME?</v>
      </c>
      <c r="T9" s="9" t="e">
        <f ca="1">SWCoeff(COUNT(S$3:S$62),ROW(S9)-ROW(S$3)+1)</f>
        <v>#NAME?</v>
      </c>
    </row>
    <row r="10" spans="1:20" x14ac:dyDescent="0.35">
      <c r="A10" s="12">
        <v>4.0959572071492554</v>
      </c>
      <c r="B10">
        <v>3.0440767331371434</v>
      </c>
      <c r="C10">
        <v>6.4735279685765317</v>
      </c>
      <c r="D10">
        <v>4.461341517973799</v>
      </c>
      <c r="E10" s="13">
        <v>2.1808557316006985</v>
      </c>
      <c r="G10" s="12" t="e">
        <f ca="1"/>
        <v>#NAME?</v>
      </c>
      <c r="H10" t="e">
        <f ca="1"/>
        <v>#NAME?</v>
      </c>
      <c r="I10" t="e">
        <f ca="1"/>
        <v>#NAME?</v>
      </c>
      <c r="J10" t="e">
        <f ca="1"/>
        <v>#NAME?</v>
      </c>
      <c r="K10" s="13" t="e">
        <f ca="1"/>
        <v>#NAME?</v>
      </c>
      <c r="M10" s="12" t="e">
        <f ca="1">SWCoeff($G$3:$K$14,G10)</f>
        <v>#NAME?</v>
      </c>
      <c r="N10" t="e">
        <f ca="1">SWCoeff($G$3:$K$14,H10)</f>
        <v>#NAME?</v>
      </c>
      <c r="O10" t="e">
        <f ca="1">SWCoeff($G$3:$K$14,I10)</f>
        <v>#NAME?</v>
      </c>
      <c r="P10" t="e">
        <f ca="1">SWCoeff($G$3:$K$14,J10)</f>
        <v>#NAME?</v>
      </c>
      <c r="Q10" s="13" t="e">
        <f ca="1">SWCoeff($G$3:$K$14,K10)</f>
        <v>#NAME?</v>
      </c>
      <c r="S10" s="9" t="e">
        <f ca="1"/>
        <v>#NAME?</v>
      </c>
      <c r="T10" s="9" t="e">
        <f ca="1">SWCoeff(COUNT(S$3:S$62),ROW(S10)-ROW(S$3)+1)</f>
        <v>#NAME?</v>
      </c>
    </row>
    <row r="11" spans="1:20" x14ac:dyDescent="0.35">
      <c r="A11" s="12">
        <v>6.5437336708753886</v>
      </c>
      <c r="B11">
        <v>1.4176671462803938</v>
      </c>
      <c r="C11">
        <v>4.1482044465393955</v>
      </c>
      <c r="D11">
        <v>9.2563448253712313</v>
      </c>
      <c r="E11" s="13">
        <v>1.1030204573941278</v>
      </c>
      <c r="G11" s="12" t="e">
        <f ca="1"/>
        <v>#NAME?</v>
      </c>
      <c r="H11" t="e">
        <f ca="1"/>
        <v>#NAME?</v>
      </c>
      <c r="I11" t="e">
        <f ca="1"/>
        <v>#NAME?</v>
      </c>
      <c r="J11" t="e">
        <f ca="1"/>
        <v>#NAME?</v>
      </c>
      <c r="K11" s="13" t="e">
        <f ca="1"/>
        <v>#NAME?</v>
      </c>
      <c r="M11" s="12" t="e">
        <f ca="1">SWCoeff($G$3:$K$14,G11)</f>
        <v>#NAME?</v>
      </c>
      <c r="N11" t="e">
        <f ca="1">SWCoeff($G$3:$K$14,H11)</f>
        <v>#NAME?</v>
      </c>
      <c r="O11" t="e">
        <f ca="1">SWCoeff($G$3:$K$14,I11)</f>
        <v>#NAME?</v>
      </c>
      <c r="P11" t="e">
        <f ca="1">SWCoeff($G$3:$K$14,J11)</f>
        <v>#NAME?</v>
      </c>
      <c r="Q11" s="13" t="e">
        <f ca="1">SWCoeff($G$3:$K$14,K11)</f>
        <v>#NAME?</v>
      </c>
      <c r="S11" s="9" t="e">
        <f ca="1"/>
        <v>#NAME?</v>
      </c>
      <c r="T11" s="9" t="e">
        <f ca="1">SWCoeff(COUNT(S$3:S$62),ROW(S11)-ROW(S$3)+1)</f>
        <v>#NAME?</v>
      </c>
    </row>
    <row r="12" spans="1:20" x14ac:dyDescent="0.35">
      <c r="A12" s="12">
        <v>0.21365848719560543</v>
      </c>
      <c r="B12">
        <v>8.6327529653695958</v>
      </c>
      <c r="C12">
        <v>4.899529907523327</v>
      </c>
      <c r="D12">
        <v>0.32671133568747546</v>
      </c>
      <c r="E12" s="13">
        <v>4.9028360182533355</v>
      </c>
      <c r="G12" s="12" t="e">
        <f ca="1"/>
        <v>#NAME?</v>
      </c>
      <c r="H12" t="e">
        <f ca="1"/>
        <v>#NAME?</v>
      </c>
      <c r="I12" t="e">
        <f ca="1"/>
        <v>#NAME?</v>
      </c>
      <c r="J12" t="e">
        <f ca="1"/>
        <v>#NAME?</v>
      </c>
      <c r="K12" s="13" t="e">
        <f ca="1"/>
        <v>#NAME?</v>
      </c>
      <c r="M12" s="12" t="e">
        <f ca="1">SWCoeff($G$3:$K$14,G12)</f>
        <v>#NAME?</v>
      </c>
      <c r="N12" t="e">
        <f ca="1">SWCoeff($G$3:$K$14,H12)</f>
        <v>#NAME?</v>
      </c>
      <c r="O12" t="e">
        <f ca="1">SWCoeff($G$3:$K$14,I12)</f>
        <v>#NAME?</v>
      </c>
      <c r="P12" t="e">
        <f ca="1">SWCoeff($G$3:$K$14,J12)</f>
        <v>#NAME?</v>
      </c>
      <c r="Q12" s="13" t="e">
        <f ca="1">SWCoeff($G$3:$K$14,K12)</f>
        <v>#NAME?</v>
      </c>
      <c r="S12" s="9" t="e">
        <f ca="1"/>
        <v>#NAME?</v>
      </c>
      <c r="T12" s="9" t="e">
        <f ca="1">SWCoeff(COUNT(S$3:S$62),ROW(S12)-ROW(S$3)+1)</f>
        <v>#NAME?</v>
      </c>
    </row>
    <row r="13" spans="1:20" x14ac:dyDescent="0.35">
      <c r="A13" s="12">
        <v>6.4705979551964266</v>
      </c>
      <c r="B13">
        <v>9.6673079922825966</v>
      </c>
      <c r="C13">
        <v>5.8290295249808972</v>
      </c>
      <c r="D13">
        <v>6.7032393775960069</v>
      </c>
      <c r="E13" s="13">
        <v>9.2365577500628184</v>
      </c>
      <c r="G13" s="12" t="e">
        <f ca="1"/>
        <v>#NAME?</v>
      </c>
      <c r="H13" t="e">
        <f ca="1"/>
        <v>#NAME?</v>
      </c>
      <c r="I13" t="e">
        <f ca="1"/>
        <v>#NAME?</v>
      </c>
      <c r="J13" t="e">
        <f ca="1"/>
        <v>#NAME?</v>
      </c>
      <c r="K13" s="13" t="e">
        <f ca="1"/>
        <v>#NAME?</v>
      </c>
      <c r="M13" s="12" t="e">
        <f ca="1">SWCoeff($G$3:$K$14,G13)</f>
        <v>#NAME?</v>
      </c>
      <c r="N13" t="e">
        <f ca="1">SWCoeff($G$3:$K$14,H13)</f>
        <v>#NAME?</v>
      </c>
      <c r="O13" t="e">
        <f ca="1">SWCoeff($G$3:$K$14,I13)</f>
        <v>#NAME?</v>
      </c>
      <c r="P13" t="e">
        <f ca="1">SWCoeff($G$3:$K$14,J13)</f>
        <v>#NAME?</v>
      </c>
      <c r="Q13" s="13" t="e">
        <f ca="1">SWCoeff($G$3:$K$14,K13)</f>
        <v>#NAME?</v>
      </c>
      <c r="S13" s="9" t="e">
        <f ca="1"/>
        <v>#NAME?</v>
      </c>
      <c r="T13" s="9" t="e">
        <f ca="1">SWCoeff(COUNT(S$3:S$62),ROW(S13)-ROW(S$3)+1)</f>
        <v>#NAME?</v>
      </c>
    </row>
    <row r="14" spans="1:20" x14ac:dyDescent="0.35">
      <c r="A14" s="16">
        <v>7.0283997114847727</v>
      </c>
      <c r="B14" s="18">
        <v>0.64210956074050918</v>
      </c>
      <c r="C14" s="18">
        <v>2.8450760284336107</v>
      </c>
      <c r="D14" s="18">
        <v>8.127618546471659</v>
      </c>
      <c r="E14" s="17">
        <v>7.5003870575851135</v>
      </c>
      <c r="G14" s="16" t="e">
        <f ca="1"/>
        <v>#NAME?</v>
      </c>
      <c r="H14" s="18" t="e">
        <f ca="1"/>
        <v>#NAME?</v>
      </c>
      <c r="I14" s="18" t="e">
        <f ca="1"/>
        <v>#NAME?</v>
      </c>
      <c r="J14" s="18" t="e">
        <f ca="1"/>
        <v>#NAME?</v>
      </c>
      <c r="K14" s="17" t="e">
        <f ca="1"/>
        <v>#NAME?</v>
      </c>
      <c r="M14" s="16" t="e">
        <f ca="1">SWCoeff($G$3:$K$14,G14)</f>
        <v>#NAME?</v>
      </c>
      <c r="N14" s="18" t="e">
        <f ca="1">SWCoeff($G$3:$K$14,H14)</f>
        <v>#NAME?</v>
      </c>
      <c r="O14" s="18" t="e">
        <f ca="1">SWCoeff($G$3:$K$14,I14)</f>
        <v>#NAME?</v>
      </c>
      <c r="P14" s="18" t="e">
        <f ca="1">SWCoeff($G$3:$K$14,J14)</f>
        <v>#NAME?</v>
      </c>
      <c r="Q14" s="17" t="e">
        <f ca="1">SWCoeff($G$3:$K$14,K14)</f>
        <v>#NAME?</v>
      </c>
      <c r="S14" s="9" t="e">
        <f ca="1"/>
        <v>#NAME?</v>
      </c>
      <c r="T14" s="9" t="e">
        <f ca="1">SWCoeff(COUNT(S$3:S$62),ROW(S14)-ROW(S$3)+1)</f>
        <v>#NAME?</v>
      </c>
    </row>
    <row r="15" spans="1:20" x14ac:dyDescent="0.35">
      <c r="S15" s="9" t="e">
        <f ca="1"/>
        <v>#NAME?</v>
      </c>
      <c r="T15" s="9" t="e">
        <f ca="1">SWCoeff(COUNT(S$3:S$62),ROW(S15)-ROW(S$3)+1)</f>
        <v>#NAME?</v>
      </c>
    </row>
    <row r="16" spans="1:20" x14ac:dyDescent="0.35">
      <c r="S16" s="9" t="e">
        <f ca="1"/>
        <v>#NAME?</v>
      </c>
      <c r="T16" s="9" t="e">
        <f ca="1">SWCoeff(COUNT(S$3:S$62),ROW(S16)-ROW(S$3)+1)</f>
        <v>#NAME?</v>
      </c>
    </row>
    <row r="17" spans="1:20" x14ac:dyDescent="0.35">
      <c r="A17" t="s">
        <v>25</v>
      </c>
      <c r="B17" s="5" t="e">
        <f ca="1">SHAPIRO(A3:E14)</f>
        <v>#NAME?</v>
      </c>
      <c r="C17" s="20" t="s">
        <v>59</v>
      </c>
      <c r="S17" s="9" t="e">
        <f ca="1"/>
        <v>#NAME?</v>
      </c>
      <c r="T17" s="9" t="e">
        <f ca="1">SWCoeff(COUNT(S$3:S$62),ROW(S17)-ROW(S$3)+1)</f>
        <v>#NAME?</v>
      </c>
    </row>
    <row r="18" spans="1:20" x14ac:dyDescent="0.35">
      <c r="A18" t="s">
        <v>32</v>
      </c>
      <c r="B18" s="9" t="e">
        <f ca="1">SWTEST(A3:E14)</f>
        <v>#NAME?</v>
      </c>
      <c r="C18" s="20" t="s">
        <v>60</v>
      </c>
      <c r="S18" s="9" t="e">
        <f ca="1"/>
        <v>#NAME?</v>
      </c>
      <c r="T18" s="9" t="e">
        <f ca="1">SWCoeff(COUNT(S$3:S$62),ROW(S18)-ROW(S$3)+1)</f>
        <v>#NAME?</v>
      </c>
    </row>
    <row r="19" spans="1:20" x14ac:dyDescent="0.35">
      <c r="A19" t="s">
        <v>34</v>
      </c>
      <c r="B19" s="9">
        <v>0.05</v>
      </c>
      <c r="S19" s="9" t="e">
        <f ca="1"/>
        <v>#NAME?</v>
      </c>
      <c r="T19" s="9" t="e">
        <f ca="1">SWCoeff(COUNT(S$3:S$62),ROW(S19)-ROW(S$3)+1)</f>
        <v>#NAME?</v>
      </c>
    </row>
    <row r="20" spans="1:20" x14ac:dyDescent="0.35">
      <c r="A20" t="s">
        <v>36</v>
      </c>
      <c r="B20" s="19" t="e">
        <f ca="1">IF(B18&lt;=B19,"yes","no")</f>
        <v>#NAME?</v>
      </c>
      <c r="C20" s="20" t="s">
        <v>61</v>
      </c>
      <c r="S20" s="9" t="e">
        <f ca="1"/>
        <v>#NAME?</v>
      </c>
      <c r="T20" s="9" t="e">
        <f ca="1">SWCoeff(COUNT(S$3:S$62),ROW(S20)-ROW(S$3)+1)</f>
        <v>#NAME?</v>
      </c>
    </row>
    <row r="21" spans="1:20" x14ac:dyDescent="0.35">
      <c r="S21" s="9" t="e">
        <f ca="1"/>
        <v>#NAME?</v>
      </c>
      <c r="T21" s="9" t="e">
        <f ca="1">SWCoeff(COUNT(S$3:S$62),ROW(S21)-ROW(S$3)+1)</f>
        <v>#NAME?</v>
      </c>
    </row>
    <row r="22" spans="1:20" x14ac:dyDescent="0.35">
      <c r="S22" s="9" t="e">
        <f ca="1"/>
        <v>#NAME?</v>
      </c>
      <c r="T22" s="9" t="e">
        <f ca="1">SWCoeff(COUNT(S$3:S$62),ROW(S22)-ROW(S$3)+1)</f>
        <v>#NAME?</v>
      </c>
    </row>
    <row r="23" spans="1:20" x14ac:dyDescent="0.35">
      <c r="S23" s="9" t="e">
        <f ca="1"/>
        <v>#NAME?</v>
      </c>
      <c r="T23" s="9" t="e">
        <f ca="1">SWCoeff(COUNT(S$3:S$62),ROW(S23)-ROW(S$3)+1)</f>
        <v>#NAME?</v>
      </c>
    </row>
    <row r="24" spans="1:20" x14ac:dyDescent="0.35">
      <c r="S24" s="9" t="e">
        <f ca="1"/>
        <v>#NAME?</v>
      </c>
      <c r="T24" s="9" t="e">
        <f ca="1">SWCoeff(COUNT(S$3:S$62),ROW(S24)-ROW(S$3)+1)</f>
        <v>#NAME?</v>
      </c>
    </row>
    <row r="25" spans="1:20" x14ac:dyDescent="0.35">
      <c r="S25" s="9" t="e">
        <f ca="1"/>
        <v>#NAME?</v>
      </c>
      <c r="T25" s="9" t="e">
        <f ca="1">SWCoeff(COUNT(S$3:S$62),ROW(S25)-ROW(S$3)+1)</f>
        <v>#NAME?</v>
      </c>
    </row>
    <row r="26" spans="1:20" x14ac:dyDescent="0.35">
      <c r="S26" s="9" t="e">
        <f ca="1"/>
        <v>#NAME?</v>
      </c>
      <c r="T26" s="9" t="e">
        <f ca="1">SWCoeff(COUNT(S$3:S$62),ROW(S26)-ROW(S$3)+1)</f>
        <v>#NAME?</v>
      </c>
    </row>
    <row r="27" spans="1:20" x14ac:dyDescent="0.35">
      <c r="S27" s="9" t="e">
        <f ca="1"/>
        <v>#NAME?</v>
      </c>
      <c r="T27" s="9" t="e">
        <f ca="1">SWCoeff(COUNT(S$3:S$62),ROW(S27)-ROW(S$3)+1)</f>
        <v>#NAME?</v>
      </c>
    </row>
    <row r="28" spans="1:20" x14ac:dyDescent="0.35">
      <c r="S28" s="9" t="e">
        <f ca="1"/>
        <v>#NAME?</v>
      </c>
      <c r="T28" s="9" t="e">
        <f ca="1">SWCoeff(COUNT(S$3:S$62),ROW(S28)-ROW(S$3)+1)</f>
        <v>#NAME?</v>
      </c>
    </row>
    <row r="29" spans="1:20" x14ac:dyDescent="0.35">
      <c r="S29" s="9" t="e">
        <f ca="1"/>
        <v>#NAME?</v>
      </c>
      <c r="T29" s="9" t="e">
        <f ca="1">SWCoeff(COUNT(S$3:S$62),ROW(S29)-ROW(S$3)+1)</f>
        <v>#NAME?</v>
      </c>
    </row>
    <row r="30" spans="1:20" x14ac:dyDescent="0.35">
      <c r="S30" s="9" t="e">
        <f ca="1"/>
        <v>#NAME?</v>
      </c>
      <c r="T30" s="9" t="e">
        <f ca="1">SWCoeff(COUNT(S$3:S$62),ROW(S30)-ROW(S$3)+1)</f>
        <v>#NAME?</v>
      </c>
    </row>
    <row r="31" spans="1:20" x14ac:dyDescent="0.35">
      <c r="S31" s="9" t="e">
        <f ca="1"/>
        <v>#NAME?</v>
      </c>
      <c r="T31" s="9" t="e">
        <f ca="1">SWCoeff(COUNT(S$3:S$62),ROW(S31)-ROW(S$3)+1)</f>
        <v>#NAME?</v>
      </c>
    </row>
    <row r="32" spans="1:20" x14ac:dyDescent="0.35">
      <c r="S32" s="9" t="e">
        <f ca="1"/>
        <v>#NAME?</v>
      </c>
      <c r="T32" s="9" t="e">
        <f ca="1">SWCoeff(COUNT(S$3:S$62),ROW(S32)-ROW(S$3)+1)</f>
        <v>#NAME?</v>
      </c>
    </row>
    <row r="33" spans="19:20" x14ac:dyDescent="0.35">
      <c r="S33" s="9" t="e">
        <f ca="1"/>
        <v>#NAME?</v>
      </c>
      <c r="T33" s="9" t="e">
        <f ca="1">SWCoeff(COUNT(S$3:S$62),ROW(S33)-ROW(S$3)+1)</f>
        <v>#NAME?</v>
      </c>
    </row>
    <row r="34" spans="19:20" x14ac:dyDescent="0.35">
      <c r="S34" s="9" t="e">
        <f ca="1"/>
        <v>#NAME?</v>
      </c>
      <c r="T34" s="9" t="e">
        <f ca="1">SWCoeff(COUNT(S$3:S$62),ROW(S34)-ROW(S$3)+1)</f>
        <v>#NAME?</v>
      </c>
    </row>
    <row r="35" spans="19:20" x14ac:dyDescent="0.35">
      <c r="S35" s="9" t="e">
        <f ca="1"/>
        <v>#NAME?</v>
      </c>
      <c r="T35" s="9" t="e">
        <f ca="1">SWCoeff(COUNT(S$3:S$62),ROW(S35)-ROW(S$3)+1)</f>
        <v>#NAME?</v>
      </c>
    </row>
    <row r="36" spans="19:20" x14ac:dyDescent="0.35">
      <c r="S36" s="9" t="e">
        <f ca="1"/>
        <v>#NAME?</v>
      </c>
      <c r="T36" s="9" t="e">
        <f ca="1">SWCoeff(COUNT(S$3:S$62),ROW(S36)-ROW(S$3)+1)</f>
        <v>#NAME?</v>
      </c>
    </row>
    <row r="37" spans="19:20" x14ac:dyDescent="0.35">
      <c r="S37" s="9" t="e">
        <f ca="1"/>
        <v>#NAME?</v>
      </c>
      <c r="T37" s="9" t="e">
        <f ca="1">SWCoeff(COUNT(S$3:S$62),ROW(S37)-ROW(S$3)+1)</f>
        <v>#NAME?</v>
      </c>
    </row>
    <row r="38" spans="19:20" x14ac:dyDescent="0.35">
      <c r="S38" s="9" t="e">
        <f ca="1"/>
        <v>#NAME?</v>
      </c>
      <c r="T38" s="9" t="e">
        <f ca="1">SWCoeff(COUNT(S$3:S$62),ROW(S38)-ROW(S$3)+1)</f>
        <v>#NAME?</v>
      </c>
    </row>
    <row r="39" spans="19:20" x14ac:dyDescent="0.35">
      <c r="S39" s="9" t="e">
        <f ca="1"/>
        <v>#NAME?</v>
      </c>
      <c r="T39" s="9" t="e">
        <f ca="1">SWCoeff(COUNT(S$3:S$62),ROW(S39)-ROW(S$3)+1)</f>
        <v>#NAME?</v>
      </c>
    </row>
    <row r="40" spans="19:20" x14ac:dyDescent="0.35">
      <c r="S40" s="9" t="e">
        <f ca="1"/>
        <v>#NAME?</v>
      </c>
      <c r="T40" s="9" t="e">
        <f ca="1">SWCoeff(COUNT(S$3:S$62),ROW(S40)-ROW(S$3)+1)</f>
        <v>#NAME?</v>
      </c>
    </row>
    <row r="41" spans="19:20" x14ac:dyDescent="0.35">
      <c r="S41" s="9" t="e">
        <f ca="1"/>
        <v>#NAME?</v>
      </c>
      <c r="T41" s="9" t="e">
        <f ca="1">SWCoeff(COUNT(S$3:S$62),ROW(S41)-ROW(S$3)+1)</f>
        <v>#NAME?</v>
      </c>
    </row>
    <row r="42" spans="19:20" x14ac:dyDescent="0.35">
      <c r="S42" s="9" t="e">
        <f ca="1"/>
        <v>#NAME?</v>
      </c>
      <c r="T42" s="9" t="e">
        <f ca="1">SWCoeff(COUNT(S$3:S$62),ROW(S42)-ROW(S$3)+1)</f>
        <v>#NAME?</v>
      </c>
    </row>
    <row r="43" spans="19:20" x14ac:dyDescent="0.35">
      <c r="S43" s="9" t="e">
        <f ca="1"/>
        <v>#NAME?</v>
      </c>
      <c r="T43" s="9" t="e">
        <f ca="1">SWCoeff(COUNT(S$3:S$62),ROW(S43)-ROW(S$3)+1)</f>
        <v>#NAME?</v>
      </c>
    </row>
    <row r="44" spans="19:20" x14ac:dyDescent="0.35">
      <c r="S44" s="9" t="e">
        <f ca="1"/>
        <v>#NAME?</v>
      </c>
      <c r="T44" s="9" t="e">
        <f ca="1">SWCoeff(COUNT(S$3:S$62),ROW(S44)-ROW(S$3)+1)</f>
        <v>#NAME?</v>
      </c>
    </row>
    <row r="45" spans="19:20" x14ac:dyDescent="0.35">
      <c r="S45" s="9" t="e">
        <f ca="1"/>
        <v>#NAME?</v>
      </c>
      <c r="T45" s="9" t="e">
        <f ca="1">SWCoeff(COUNT(S$3:S$62),ROW(S45)-ROW(S$3)+1)</f>
        <v>#NAME?</v>
      </c>
    </row>
    <row r="46" spans="19:20" x14ac:dyDescent="0.35">
      <c r="S46" s="9" t="e">
        <f ca="1"/>
        <v>#NAME?</v>
      </c>
      <c r="T46" s="9" t="e">
        <f ca="1">SWCoeff(COUNT(S$3:S$62),ROW(S46)-ROW(S$3)+1)</f>
        <v>#NAME?</v>
      </c>
    </row>
    <row r="47" spans="19:20" x14ac:dyDescent="0.35">
      <c r="S47" s="9" t="e">
        <f ca="1"/>
        <v>#NAME?</v>
      </c>
      <c r="T47" s="9" t="e">
        <f ca="1">SWCoeff(COUNT(S$3:S$62),ROW(S47)-ROW(S$3)+1)</f>
        <v>#NAME?</v>
      </c>
    </row>
    <row r="48" spans="19:20" x14ac:dyDescent="0.35">
      <c r="S48" s="9" t="e">
        <f ca="1"/>
        <v>#NAME?</v>
      </c>
      <c r="T48" s="9" t="e">
        <f ca="1">SWCoeff(COUNT(S$3:S$62),ROW(S48)-ROW(S$3)+1)</f>
        <v>#NAME?</v>
      </c>
    </row>
    <row r="49" spans="19:20" x14ac:dyDescent="0.35">
      <c r="S49" s="9" t="e">
        <f ca="1"/>
        <v>#NAME?</v>
      </c>
      <c r="T49" s="9" t="e">
        <f ca="1">SWCoeff(COUNT(S$3:S$62),ROW(S49)-ROW(S$3)+1)</f>
        <v>#NAME?</v>
      </c>
    </row>
    <row r="50" spans="19:20" x14ac:dyDescent="0.35">
      <c r="S50" s="9" t="e">
        <f ca="1"/>
        <v>#NAME?</v>
      </c>
      <c r="T50" s="9" t="e">
        <f ca="1">SWCoeff(COUNT(S$3:S$62),ROW(S50)-ROW(S$3)+1)</f>
        <v>#NAME?</v>
      </c>
    </row>
    <row r="51" spans="19:20" x14ac:dyDescent="0.35">
      <c r="S51" s="9" t="e">
        <f ca="1"/>
        <v>#NAME?</v>
      </c>
      <c r="T51" s="9" t="e">
        <f ca="1">SWCoeff(COUNT(S$3:S$62),ROW(S51)-ROW(S$3)+1)</f>
        <v>#NAME?</v>
      </c>
    </row>
    <row r="52" spans="19:20" x14ac:dyDescent="0.35">
      <c r="S52" s="9" t="e">
        <f ca="1"/>
        <v>#NAME?</v>
      </c>
      <c r="T52" s="9" t="e">
        <f ca="1">SWCoeff(COUNT(S$3:S$62),ROW(S52)-ROW(S$3)+1)</f>
        <v>#NAME?</v>
      </c>
    </row>
    <row r="53" spans="19:20" x14ac:dyDescent="0.35">
      <c r="S53" s="9" t="e">
        <f ca="1"/>
        <v>#NAME?</v>
      </c>
      <c r="T53" s="9" t="e">
        <f ca="1">SWCoeff(COUNT(S$3:S$62),ROW(S53)-ROW(S$3)+1)</f>
        <v>#NAME?</v>
      </c>
    </row>
    <row r="54" spans="19:20" x14ac:dyDescent="0.35">
      <c r="S54" s="9" t="e">
        <f ca="1"/>
        <v>#NAME?</v>
      </c>
      <c r="T54" s="9" t="e">
        <f ca="1">SWCoeff(COUNT(S$3:S$62),ROW(S54)-ROW(S$3)+1)</f>
        <v>#NAME?</v>
      </c>
    </row>
    <row r="55" spans="19:20" x14ac:dyDescent="0.35">
      <c r="S55" s="9" t="e">
        <f ca="1"/>
        <v>#NAME?</v>
      </c>
      <c r="T55" s="9" t="e">
        <f ca="1">SWCoeff(COUNT(S$3:S$62),ROW(S55)-ROW(S$3)+1)</f>
        <v>#NAME?</v>
      </c>
    </row>
    <row r="56" spans="19:20" x14ac:dyDescent="0.35">
      <c r="S56" s="9" t="e">
        <f ca="1"/>
        <v>#NAME?</v>
      </c>
      <c r="T56" s="9" t="e">
        <f ca="1">SWCoeff(COUNT(S$3:S$62),ROW(S56)-ROW(S$3)+1)</f>
        <v>#NAME?</v>
      </c>
    </row>
    <row r="57" spans="19:20" x14ac:dyDescent="0.35">
      <c r="S57" s="9" t="e">
        <f ca="1"/>
        <v>#NAME?</v>
      </c>
      <c r="T57" s="9" t="e">
        <f ca="1">SWCoeff(COUNT(S$3:S$62),ROW(S57)-ROW(S$3)+1)</f>
        <v>#NAME?</v>
      </c>
    </row>
    <row r="58" spans="19:20" x14ac:dyDescent="0.35">
      <c r="S58" s="9" t="e">
        <f ca="1"/>
        <v>#NAME?</v>
      </c>
      <c r="T58" s="9" t="e">
        <f ca="1">SWCoeff(COUNT(S$3:S$62),ROW(S58)-ROW(S$3)+1)</f>
        <v>#NAME?</v>
      </c>
    </row>
    <row r="59" spans="19:20" x14ac:dyDescent="0.35">
      <c r="S59" s="9" t="e">
        <f ca="1"/>
        <v>#NAME?</v>
      </c>
      <c r="T59" s="9" t="e">
        <f ca="1">SWCoeff(COUNT(S$3:S$62),ROW(S59)-ROW(S$3)+1)</f>
        <v>#NAME?</v>
      </c>
    </row>
    <row r="60" spans="19:20" x14ac:dyDescent="0.35">
      <c r="S60" s="9" t="e">
        <f ca="1"/>
        <v>#NAME?</v>
      </c>
      <c r="T60" s="9" t="e">
        <f ca="1">SWCoeff(COUNT(S$3:S$62),ROW(S60)-ROW(S$3)+1)</f>
        <v>#NAME?</v>
      </c>
    </row>
    <row r="61" spans="19:20" x14ac:dyDescent="0.35">
      <c r="S61" s="9" t="e">
        <f ca="1"/>
        <v>#NAME?</v>
      </c>
      <c r="T61" s="9" t="e">
        <f ca="1">SWCoeff(COUNT(S$3:S$62),ROW(S61)-ROW(S$3)+1)</f>
        <v>#NAME?</v>
      </c>
    </row>
    <row r="62" spans="19:20" x14ac:dyDescent="0.35">
      <c r="S62" s="15" t="e">
        <f ca="1"/>
        <v>#NAME?</v>
      </c>
      <c r="T62" s="15" t="e">
        <f ca="1">SWCoeff(COUNT(S$3:S$62),ROW(S62)-ROW(S$3)+1)</f>
        <v>#NAME?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F7791-2194-488E-9448-C7E3017F7A29}">
  <dimension ref="A1:AJ23"/>
  <sheetViews>
    <sheetView workbookViewId="0"/>
  </sheetViews>
  <sheetFormatPr defaultRowHeight="14.5" x14ac:dyDescent="0.35"/>
  <cols>
    <col min="4" max="4" width="3.453125" customWidth="1"/>
    <col min="5" max="5" width="18.1796875" customWidth="1"/>
    <col min="9" max="9" width="3.26953125" customWidth="1"/>
    <col min="14" max="14" width="3.26953125" customWidth="1"/>
    <col min="15" max="15" width="7.81640625" customWidth="1"/>
    <col min="20" max="20" width="10.453125" customWidth="1"/>
  </cols>
  <sheetData>
    <row r="1" spans="1:36" x14ac:dyDescent="0.35">
      <c r="A1" s="1" t="s">
        <v>62</v>
      </c>
    </row>
    <row r="3" spans="1:36" x14ac:dyDescent="0.35">
      <c r="A3" s="2" t="s">
        <v>63</v>
      </c>
      <c r="B3" s="2" t="s">
        <v>64</v>
      </c>
      <c r="C3" s="30" t="s">
        <v>65</v>
      </c>
      <c r="E3" t="s">
        <v>66</v>
      </c>
      <c r="J3" t="s">
        <v>67</v>
      </c>
      <c r="O3" t="s">
        <v>68</v>
      </c>
      <c r="T3" t="s">
        <v>67</v>
      </c>
      <c r="AG3" s="2" t="s">
        <v>64</v>
      </c>
      <c r="AI3" t="s">
        <v>68</v>
      </c>
    </row>
    <row r="4" spans="1:36" x14ac:dyDescent="0.35">
      <c r="A4" s="6">
        <v>19</v>
      </c>
      <c r="B4" s="6">
        <v>12</v>
      </c>
      <c r="C4" s="6">
        <v>145</v>
      </c>
      <c r="AG4" s="6">
        <v>12</v>
      </c>
    </row>
    <row r="5" spans="1:36" x14ac:dyDescent="0.35">
      <c r="A5" s="6">
        <v>41</v>
      </c>
      <c r="B5" s="6">
        <v>27</v>
      </c>
      <c r="C5" s="6">
        <v>125</v>
      </c>
      <c r="E5" s="31"/>
      <c r="F5" s="31" t="str">
        <f>A3</f>
        <v>Sample 1</v>
      </c>
      <c r="G5" s="31" t="str">
        <f>B3</f>
        <v>Sample 2</v>
      </c>
      <c r="H5" s="31" t="str">
        <f>C3</f>
        <v>Sample 3</v>
      </c>
      <c r="K5" s="32" t="str">
        <f>A3</f>
        <v>Sample 1</v>
      </c>
      <c r="L5" s="32" t="str">
        <f t="shared" ref="L5:M5" si="0">B3</f>
        <v>Sample 2</v>
      </c>
      <c r="M5" s="32" t="str">
        <f t="shared" si="0"/>
        <v>Sample 3</v>
      </c>
      <c r="O5" s="31"/>
      <c r="P5" s="31" t="str">
        <f>A3</f>
        <v>Sample 1</v>
      </c>
      <c r="Q5" s="31" t="str">
        <f>B3</f>
        <v>Sample 2</v>
      </c>
      <c r="R5" s="31" t="str">
        <f>C3</f>
        <v>Sample 3</v>
      </c>
      <c r="U5" s="32" t="str">
        <f>A3</f>
        <v>Sample 1</v>
      </c>
      <c r="V5" s="32" t="str">
        <f t="shared" ref="V5:W5" si="1">B3</f>
        <v>Sample 2</v>
      </c>
      <c r="W5" s="32" t="str">
        <f t="shared" si="1"/>
        <v>Sample 3</v>
      </c>
      <c r="AG5" s="6">
        <v>27</v>
      </c>
      <c r="AI5" s="31"/>
      <c r="AJ5" s="31" t="str">
        <f>AG3</f>
        <v>Sample 2</v>
      </c>
    </row>
    <row r="6" spans="1:36" x14ac:dyDescent="0.35">
      <c r="A6" s="6">
        <v>29</v>
      </c>
      <c r="B6" s="6">
        <v>18</v>
      </c>
      <c r="C6" s="6">
        <v>190</v>
      </c>
      <c r="E6" t="s">
        <v>69</v>
      </c>
      <c r="F6">
        <f>AVERAGE(A4:A16)</f>
        <v>36.846153846153847</v>
      </c>
      <c r="G6">
        <f>AVERAGE(B4:B16)</f>
        <v>41.153846153846153</v>
      </c>
      <c r="H6">
        <f>AVERAGE(C4:C16)</f>
        <v>131</v>
      </c>
      <c r="J6" t="s">
        <v>70</v>
      </c>
      <c r="K6" s="33">
        <f>MIN(A4:A16)</f>
        <v>8</v>
      </c>
      <c r="L6" s="34">
        <f t="shared" ref="L6:M6" si="2">MIN(B4:B16)</f>
        <v>3</v>
      </c>
      <c r="M6" s="35">
        <f t="shared" si="2"/>
        <v>3</v>
      </c>
      <c r="O6" t="s">
        <v>71</v>
      </c>
      <c r="P6" t="e">
        <f ca="1">SHAPIRO(A4:A16)</f>
        <v>#NAME?</v>
      </c>
      <c r="Q6" t="e">
        <f ca="1">SHAPIRO(B4:B16)</f>
        <v>#NAME?</v>
      </c>
      <c r="R6" t="e">
        <f ca="1">SHAPIRO(C4:C16)</f>
        <v>#NAME?</v>
      </c>
      <c r="T6" t="s">
        <v>70</v>
      </c>
      <c r="U6" s="33">
        <f>U13-$U20</f>
        <v>8</v>
      </c>
      <c r="V6" s="34">
        <f t="shared" ref="V6:W6" si="3">V13-$U20</f>
        <v>3</v>
      </c>
      <c r="W6" s="35">
        <f t="shared" si="3"/>
        <v>125</v>
      </c>
      <c r="AG6" s="6">
        <v>18</v>
      </c>
      <c r="AI6" t="s">
        <v>71</v>
      </c>
      <c r="AJ6" t="e">
        <f ca="1">SHAPIRO(AG4:AG16)</f>
        <v>#NAME?</v>
      </c>
    </row>
    <row r="7" spans="1:36" x14ac:dyDescent="0.35">
      <c r="A7" s="6">
        <v>95</v>
      </c>
      <c r="B7" s="6">
        <v>23</v>
      </c>
      <c r="C7" s="6">
        <v>135</v>
      </c>
      <c r="E7" t="s">
        <v>72</v>
      </c>
      <c r="F7">
        <f>STDEV(A4:A16)/SQRT(COUNT(A4:A16))</f>
        <v>6.6533644408406643</v>
      </c>
      <c r="G7">
        <f>STDEV(B4:B16)/SQRT(COUNT(B4:B16))</f>
        <v>8.8171206953858814</v>
      </c>
      <c r="H7">
        <f>STDEV(C4:C16)/SQRT(COUNT(C4:C16))</f>
        <v>19.259696192720629</v>
      </c>
      <c r="J7" t="s">
        <v>73</v>
      </c>
      <c r="K7" s="36">
        <f>QUARTILE(A4:A16,1)-K6</f>
        <v>11</v>
      </c>
      <c r="L7">
        <f t="shared" ref="L7:M7" si="4">QUARTILE(B4:B16,1)-L6</f>
        <v>20</v>
      </c>
      <c r="M7" s="37">
        <f t="shared" si="4"/>
        <v>122</v>
      </c>
      <c r="O7" t="s">
        <v>32</v>
      </c>
      <c r="P7" t="e">
        <f ca="1">SWTEST(A4:A16)</f>
        <v>#NAME?</v>
      </c>
      <c r="Q7" t="e">
        <f ca="1">SWTEST(B4:B16)</f>
        <v>#NAME?</v>
      </c>
      <c r="R7" t="e">
        <f ca="1">SWTEST(C4:C16)</f>
        <v>#NAME?</v>
      </c>
      <c r="T7" t="s">
        <v>73</v>
      </c>
      <c r="U7" s="36">
        <f>U14-U13</f>
        <v>11</v>
      </c>
      <c r="V7">
        <f t="shared" ref="V7:W7" si="5">V14-V13</f>
        <v>20</v>
      </c>
      <c r="W7" s="37">
        <f t="shared" si="5"/>
        <v>0</v>
      </c>
      <c r="AG7" s="6">
        <v>23</v>
      </c>
      <c r="AI7" t="s">
        <v>32</v>
      </c>
      <c r="AJ7" t="e">
        <f ca="1">SWTEST(AG4:AG16)</f>
        <v>#NAME?</v>
      </c>
    </row>
    <row r="8" spans="1:36" x14ac:dyDescent="0.35">
      <c r="A8" s="6">
        <v>8</v>
      </c>
      <c r="B8" s="6">
        <v>72</v>
      </c>
      <c r="C8" s="6">
        <v>220</v>
      </c>
      <c r="E8" t="s">
        <v>74</v>
      </c>
      <c r="F8">
        <f>MEDIAN(A4:A16)</f>
        <v>35</v>
      </c>
      <c r="G8">
        <f>MEDIAN(B4:B16)</f>
        <v>27</v>
      </c>
      <c r="H8">
        <f>MEDIAN(C4:C16)</f>
        <v>145</v>
      </c>
      <c r="J8" t="s">
        <v>75</v>
      </c>
      <c r="K8" s="36">
        <f>MEDIAN(A4:A16)-QUARTILE(A4:A16,1)</f>
        <v>16</v>
      </c>
      <c r="L8">
        <f t="shared" ref="L8:M8" si="6">MEDIAN(B4:B16)-QUARTILE(B4:B16,1)</f>
        <v>4</v>
      </c>
      <c r="M8" s="37">
        <f t="shared" si="6"/>
        <v>20</v>
      </c>
      <c r="O8" t="s">
        <v>34</v>
      </c>
      <c r="P8">
        <v>0.05</v>
      </c>
      <c r="Q8">
        <v>0.05</v>
      </c>
      <c r="R8">
        <v>0.05</v>
      </c>
      <c r="T8" t="s">
        <v>75</v>
      </c>
      <c r="U8" s="36">
        <f t="shared" ref="U8:W10" si="7">U15-U14</f>
        <v>16</v>
      </c>
      <c r="V8">
        <f t="shared" si="7"/>
        <v>4</v>
      </c>
      <c r="W8" s="37">
        <f t="shared" si="7"/>
        <v>20</v>
      </c>
      <c r="AG8" s="6">
        <v>72</v>
      </c>
      <c r="AI8" t="s">
        <v>34</v>
      </c>
      <c r="AJ8">
        <v>0.05</v>
      </c>
    </row>
    <row r="9" spans="1:36" x14ac:dyDescent="0.35">
      <c r="A9" s="6">
        <v>29</v>
      </c>
      <c r="B9" s="6">
        <v>27</v>
      </c>
      <c r="C9" s="6">
        <v>5</v>
      </c>
      <c r="E9" t="s">
        <v>76</v>
      </c>
      <c r="F9">
        <f>MODE(A4:A16)</f>
        <v>41</v>
      </c>
      <c r="G9">
        <f>MODE(B4:B16)</f>
        <v>27</v>
      </c>
      <c r="H9">
        <f>MODE(C4:C16)</f>
        <v>165</v>
      </c>
      <c r="J9" t="s">
        <v>77</v>
      </c>
      <c r="K9" s="36">
        <f>QUARTILE(A4:A16,3)-MEDIAN(A4:A16)</f>
        <v>13</v>
      </c>
      <c r="L9">
        <f t="shared" ref="L9:M9" si="8">QUARTILE(B4:B16,3)-MEDIAN(B4:B16)</f>
        <v>26</v>
      </c>
      <c r="M9" s="37">
        <f t="shared" si="8"/>
        <v>20</v>
      </c>
      <c r="O9" s="18" t="s">
        <v>78</v>
      </c>
      <c r="P9" s="38" t="e">
        <f ca="1">IF(P7&lt;P8,"no","yes")</f>
        <v>#NAME?</v>
      </c>
      <c r="Q9" s="38" t="e">
        <f ca="1">IF(Q7&lt;Q8,"no","yes")</f>
        <v>#NAME?</v>
      </c>
      <c r="R9" s="38" t="e">
        <f ca="1">IF(R7&lt;R8,"no","yes")</f>
        <v>#NAME?</v>
      </c>
      <c r="T9" t="s">
        <v>77</v>
      </c>
      <c r="U9" s="36">
        <f t="shared" si="7"/>
        <v>13</v>
      </c>
      <c r="V9">
        <f t="shared" si="7"/>
        <v>26</v>
      </c>
      <c r="W9" s="37">
        <f t="shared" si="7"/>
        <v>20</v>
      </c>
      <c r="AG9" s="6">
        <v>27</v>
      </c>
      <c r="AI9" s="18" t="s">
        <v>78</v>
      </c>
      <c r="AJ9" s="38" t="e">
        <f ca="1">IF(AJ7&lt;AJ8,"no","yes")</f>
        <v>#NAME?</v>
      </c>
    </row>
    <row r="10" spans="1:36" x14ac:dyDescent="0.35">
      <c r="A10" s="6">
        <v>11</v>
      </c>
      <c r="B10" s="6">
        <v>27</v>
      </c>
      <c r="C10" s="6">
        <v>130</v>
      </c>
      <c r="E10" t="s">
        <v>79</v>
      </c>
      <c r="F10">
        <f>STDEV(A4:A16)</f>
        <v>23.989046645799807</v>
      </c>
      <c r="G10">
        <f>STDEV(B4:B16)</f>
        <v>31.790580769168496</v>
      </c>
      <c r="H10">
        <f>STDEV(C4:C16)</f>
        <v>69.441822172712804</v>
      </c>
      <c r="J10" t="s">
        <v>80</v>
      </c>
      <c r="K10" s="36">
        <f>MAX(A4:A16)-QUARTILE(A4:A16,3)</f>
        <v>47</v>
      </c>
      <c r="L10">
        <f t="shared" ref="L10:M10" si="9">MAX(B4:B16)-QUARTILE(B4:B16,3)</f>
        <v>72</v>
      </c>
      <c r="M10" s="37">
        <f t="shared" si="9"/>
        <v>55</v>
      </c>
      <c r="T10" t="s">
        <v>80</v>
      </c>
      <c r="U10" s="36">
        <f t="shared" si="7"/>
        <v>11</v>
      </c>
      <c r="V10">
        <f t="shared" si="7"/>
        <v>19</v>
      </c>
      <c r="W10" s="37">
        <f t="shared" si="7"/>
        <v>55</v>
      </c>
      <c r="AG10" s="6">
        <v>27</v>
      </c>
    </row>
    <row r="11" spans="1:36" x14ac:dyDescent="0.35">
      <c r="A11" s="6">
        <v>59</v>
      </c>
      <c r="B11" s="6">
        <v>53</v>
      </c>
      <c r="C11" s="6">
        <v>210</v>
      </c>
      <c r="E11" t="s">
        <v>81</v>
      </c>
      <c r="F11">
        <f>VAR(A4:A16)</f>
        <v>575.47435897435901</v>
      </c>
      <c r="G11">
        <f>VAR(B4:B16)</f>
        <v>1010.6410256410257</v>
      </c>
      <c r="H11">
        <f>VAR(C4:C16)</f>
        <v>4822.166666666667</v>
      </c>
      <c r="J11" t="s">
        <v>69</v>
      </c>
      <c r="K11" s="39">
        <f>AVERAGE(A4:A16)</f>
        <v>36.846153846153847</v>
      </c>
      <c r="L11" s="40">
        <f t="shared" ref="L11:M11" si="10">AVERAGE(B4:B16)</f>
        <v>41.153846153846153</v>
      </c>
      <c r="M11" s="41">
        <f t="shared" si="10"/>
        <v>131</v>
      </c>
      <c r="O11" t="s">
        <v>82</v>
      </c>
      <c r="T11" t="s">
        <v>69</v>
      </c>
      <c r="U11" s="39">
        <f>U18-$U20</f>
        <v>36.846153846153847</v>
      </c>
      <c r="V11" s="40">
        <f t="shared" ref="V11:W11" si="11">V18-$U20</f>
        <v>41.153846153846153</v>
      </c>
      <c r="W11" s="41">
        <f t="shared" si="11"/>
        <v>131</v>
      </c>
      <c r="AG11" s="6">
        <v>53</v>
      </c>
      <c r="AI11" t="s">
        <v>82</v>
      </c>
    </row>
    <row r="12" spans="1:36" x14ac:dyDescent="0.35">
      <c r="A12" s="6">
        <v>41</v>
      </c>
      <c r="B12" s="6">
        <v>3</v>
      </c>
      <c r="C12" s="6">
        <v>3</v>
      </c>
      <c r="E12" t="s">
        <v>83</v>
      </c>
      <c r="F12">
        <f>KURT(A4:A16)</f>
        <v>1.6749701684087577</v>
      </c>
      <c r="G12">
        <f>KURT(B4:B16)</f>
        <v>3.3260948250054798</v>
      </c>
      <c r="H12">
        <f>KURT(C4:C16)</f>
        <v>1.2549653855171705E-3</v>
      </c>
      <c r="AG12" s="6">
        <v>3</v>
      </c>
    </row>
    <row r="13" spans="1:36" x14ac:dyDescent="0.35">
      <c r="A13" s="6">
        <v>48</v>
      </c>
      <c r="B13" s="6">
        <v>45</v>
      </c>
      <c r="C13" s="6">
        <v>165</v>
      </c>
      <c r="E13" t="s">
        <v>84</v>
      </c>
      <c r="F13">
        <f>SKEW(A4:A16)</f>
        <v>1.0565196181265495</v>
      </c>
      <c r="G13">
        <f>SKEW(B4:B16)</f>
        <v>1.5806397330035018</v>
      </c>
      <c r="H13">
        <f>SKEW(C4:C16)</f>
        <v>-0.87173285849778881</v>
      </c>
      <c r="O13" s="29" t="s">
        <v>85</v>
      </c>
      <c r="P13" s="29" t="e">
        <f ca="1">DAGOSTINO(A4:A16)</f>
        <v>#NAME?</v>
      </c>
      <c r="Q13" s="29" t="e">
        <f ca="1">DAGOSTINO(B4:B16)</f>
        <v>#NAME?</v>
      </c>
      <c r="R13" s="29" t="e">
        <f ca="1">DAGOSTINO(C4:C16)</f>
        <v>#NAME?</v>
      </c>
      <c r="T13" t="s">
        <v>70</v>
      </c>
      <c r="U13" s="33">
        <f t="array" ref="U13">MIN(IF(A4:A16&gt;=U14-3*(U16-U14)/2,A4:A16,""))</f>
        <v>8</v>
      </c>
      <c r="V13" s="34">
        <f t="array" ref="V13">MIN(IF(B4:B16&gt;=V14-3*(V16-V14)/2,B4:B16,""))</f>
        <v>3</v>
      </c>
      <c r="W13" s="35">
        <f t="array" ref="W13">MIN(IF(C4:C16&gt;=W14-3*(W16-W14)/2,C4:C16,""))</f>
        <v>125</v>
      </c>
      <c r="AG13" s="6">
        <v>45</v>
      </c>
      <c r="AI13" s="42" t="s">
        <v>85</v>
      </c>
      <c r="AJ13" s="42" t="e">
        <f ca="1">DAGOSTINO(AG4:AG16)</f>
        <v>#NAME?</v>
      </c>
    </row>
    <row r="14" spans="1:36" x14ac:dyDescent="0.35">
      <c r="A14" s="6">
        <v>53</v>
      </c>
      <c r="B14" s="6">
        <v>53</v>
      </c>
      <c r="C14" s="6">
        <v>165</v>
      </c>
      <c r="E14" t="s">
        <v>86</v>
      </c>
      <c r="F14">
        <f>F15-F16</f>
        <v>87</v>
      </c>
      <c r="G14">
        <f>G15-G16</f>
        <v>122</v>
      </c>
      <c r="H14">
        <f>H15-H16</f>
        <v>217</v>
      </c>
      <c r="O14" t="s">
        <v>32</v>
      </c>
      <c r="P14" t="e">
        <f ca="1">DPTEST(A4:A16)</f>
        <v>#NAME?</v>
      </c>
      <c r="Q14" t="e">
        <f ca="1">DPTEST(B4:B16)</f>
        <v>#NAME?</v>
      </c>
      <c r="R14" t="e">
        <f ca="1">DPTEST(C4:C16)</f>
        <v>#NAME?</v>
      </c>
      <c r="T14" t="s">
        <v>87</v>
      </c>
      <c r="U14" s="36">
        <f>QUARTILE(A4:A16,1)</f>
        <v>19</v>
      </c>
      <c r="V14">
        <f t="shared" ref="V14:W14" si="12">QUARTILE(B4:B16,1)</f>
        <v>23</v>
      </c>
      <c r="W14" s="37">
        <f t="shared" si="12"/>
        <v>125</v>
      </c>
      <c r="AG14" s="6">
        <v>53</v>
      </c>
      <c r="AI14" t="s">
        <v>32</v>
      </c>
      <c r="AJ14" t="e">
        <f ca="1">DPTEST(AG4:AG16)</f>
        <v>#NAME?</v>
      </c>
    </row>
    <row r="15" spans="1:36" x14ac:dyDescent="0.35">
      <c r="A15" s="6">
        <v>35</v>
      </c>
      <c r="B15" s="6">
        <v>125</v>
      </c>
      <c r="C15" s="6">
        <v>150</v>
      </c>
      <c r="E15" t="s">
        <v>88</v>
      </c>
      <c r="F15">
        <f>MAX(A4:A16)</f>
        <v>95</v>
      </c>
      <c r="G15">
        <f>MAX(B4:B16)</f>
        <v>125</v>
      </c>
      <c r="H15">
        <f>MAX(C4:C16)</f>
        <v>220</v>
      </c>
      <c r="O15" t="s">
        <v>34</v>
      </c>
      <c r="P15">
        <v>0.05</v>
      </c>
      <c r="Q15">
        <v>0.05</v>
      </c>
      <c r="R15">
        <v>0.05</v>
      </c>
      <c r="T15" t="s">
        <v>74</v>
      </c>
      <c r="U15" s="36">
        <f>MEDIAN(A4:A16)</f>
        <v>35</v>
      </c>
      <c r="V15">
        <f t="shared" ref="V15:W15" si="13">MEDIAN(B4:B16)</f>
        <v>27</v>
      </c>
      <c r="W15" s="37">
        <f t="shared" si="13"/>
        <v>145</v>
      </c>
      <c r="AG15" s="6"/>
      <c r="AI15" t="s">
        <v>34</v>
      </c>
      <c r="AJ15">
        <v>0.05</v>
      </c>
    </row>
    <row r="16" spans="1:36" x14ac:dyDescent="0.35">
      <c r="A16" s="7">
        <v>11</v>
      </c>
      <c r="B16" s="7">
        <v>50</v>
      </c>
      <c r="C16" s="7">
        <v>60</v>
      </c>
      <c r="E16" t="s">
        <v>89</v>
      </c>
      <c r="F16">
        <f>MIN(A4:A16)</f>
        <v>8</v>
      </c>
      <c r="G16">
        <f>MIN(B4:B16)</f>
        <v>3</v>
      </c>
      <c r="H16">
        <f>MIN(C4:C16)</f>
        <v>3</v>
      </c>
      <c r="O16" s="18" t="s">
        <v>78</v>
      </c>
      <c r="P16" s="38" t="e">
        <f ca="1">IF(P14&lt;P15,"no","yes")</f>
        <v>#NAME?</v>
      </c>
      <c r="Q16" s="38" t="e">
        <f ca="1">IF(Q14&lt;Q15,"no","yes")</f>
        <v>#NAME?</v>
      </c>
      <c r="R16" s="38" t="e">
        <f t="shared" ref="R16" ca="1" si="14">IF(R14&lt;R15,"no","yes")</f>
        <v>#NAME?</v>
      </c>
      <c r="T16" t="s">
        <v>90</v>
      </c>
      <c r="U16" s="36">
        <f>QUARTILE(A4:A16,3)</f>
        <v>48</v>
      </c>
      <c r="V16">
        <f t="shared" ref="V16:W16" si="15">QUARTILE(B4:B16,3)</f>
        <v>53</v>
      </c>
      <c r="W16" s="37">
        <f t="shared" si="15"/>
        <v>165</v>
      </c>
      <c r="AG16" s="7">
        <v>50</v>
      </c>
      <c r="AI16" s="18" t="s">
        <v>78</v>
      </c>
      <c r="AJ16" s="38" t="e">
        <f ca="1">IF(AJ14&lt;AJ15,"no","yes")</f>
        <v>#NAME?</v>
      </c>
    </row>
    <row r="17" spans="5:23" x14ac:dyDescent="0.35">
      <c r="E17" t="s">
        <v>91</v>
      </c>
      <c r="F17">
        <f>SUM(A4:A16)</f>
        <v>479</v>
      </c>
      <c r="G17">
        <f>SUM(B4:B16)</f>
        <v>535</v>
      </c>
      <c r="H17">
        <f>SUM(C4:C16)</f>
        <v>1703</v>
      </c>
      <c r="T17" t="s">
        <v>92</v>
      </c>
      <c r="U17" s="36">
        <f t="array" ref="U17">MAX(IF(A4:A16&lt;=U16+3*(U16-U14)/2,A4:A16,""))</f>
        <v>59</v>
      </c>
      <c r="V17">
        <f t="array" ref="V17">MAX(IF(B4:B16&lt;=V16+3*(V16-V14)/2,B4:B16,""))</f>
        <v>72</v>
      </c>
      <c r="W17" s="37">
        <f t="array" ref="W17">MAX(IF(C4:C16&lt;=W16+3*(W16-W14)/2,C4:C16,""))</f>
        <v>220</v>
      </c>
    </row>
    <row r="18" spans="5:23" x14ac:dyDescent="0.35">
      <c r="E18" t="s">
        <v>93</v>
      </c>
      <c r="F18">
        <f>COUNT(A4:A16)</f>
        <v>13</v>
      </c>
      <c r="G18">
        <f>COUNT(B4:B16)</f>
        <v>13</v>
      </c>
      <c r="H18">
        <f>COUNT(C4:C16)</f>
        <v>13</v>
      </c>
      <c r="T18" t="s">
        <v>69</v>
      </c>
      <c r="U18" s="39">
        <f>AVERAGE(A4:A16)</f>
        <v>36.846153846153847</v>
      </c>
      <c r="V18" s="40">
        <f t="shared" ref="V18:W18" si="16">AVERAGE(B4:B16)</f>
        <v>41.153846153846153</v>
      </c>
      <c r="W18" s="41">
        <f t="shared" si="16"/>
        <v>131</v>
      </c>
    </row>
    <row r="19" spans="5:23" x14ac:dyDescent="0.35">
      <c r="E19" t="s">
        <v>94</v>
      </c>
      <c r="F19">
        <f>GEOMEAN(A4:A16)</f>
        <v>29.528580632535327</v>
      </c>
      <c r="G19">
        <f>GEOMEAN(B4:B16)</f>
        <v>30.10536628050507</v>
      </c>
      <c r="H19">
        <f>GEOMEAN(C4:C16)</f>
        <v>83.934883110922172</v>
      </c>
    </row>
    <row r="20" spans="5:23" x14ac:dyDescent="0.35">
      <c r="E20" t="s">
        <v>95</v>
      </c>
      <c r="F20">
        <f>HARMEAN(A4:A16)</f>
        <v>22.689829725244952</v>
      </c>
      <c r="G20">
        <f>HARMEAN(B4:B16)</f>
        <v>17.841003748633526</v>
      </c>
      <c r="H20">
        <f>HARMEAN(C4:C16)</f>
        <v>21.194915092617297</v>
      </c>
      <c r="T20" t="s">
        <v>96</v>
      </c>
      <c r="U20" s="43">
        <f>IF(MIN(U13:W13)&gt;=0,0,MIN(U13:W13))</f>
        <v>0</v>
      </c>
    </row>
    <row r="21" spans="5:23" x14ac:dyDescent="0.35">
      <c r="E21" t="s">
        <v>97</v>
      </c>
      <c r="F21">
        <f>AVEDEV(A4:A16)</f>
        <v>17.834319526627219</v>
      </c>
      <c r="G21">
        <f>AVEDEV(B4:B16)</f>
        <v>23.242603550295858</v>
      </c>
      <c r="H21">
        <f>AVEDEV(C4:C16)</f>
        <v>51.07692307692308</v>
      </c>
    </row>
    <row r="22" spans="5:23" x14ac:dyDescent="0.35">
      <c r="E22" t="s">
        <v>98</v>
      </c>
      <c r="F22" t="e">
        <f ca="1">MAD(A4:A16)</f>
        <v>#NAME?</v>
      </c>
      <c r="G22" t="e">
        <f ca="1">MAD(B4:B16)</f>
        <v>#NAME?</v>
      </c>
      <c r="H22" t="e">
        <f ca="1">MAD(C4:C16)</f>
        <v>#NAME?</v>
      </c>
    </row>
    <row r="23" spans="5:23" x14ac:dyDescent="0.35">
      <c r="E23" s="18" t="s">
        <v>99</v>
      </c>
      <c r="F23" s="18" t="e">
        <f ca="1">IQR(A4:A16)</f>
        <v>#NAME?</v>
      </c>
      <c r="G23" s="18" t="e">
        <f ca="1">IQR(B4:B16)</f>
        <v>#NAME?</v>
      </c>
      <c r="H23" s="18" t="e">
        <f ca="1">IQR(C4:C16)</f>
        <v>#NAME?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Title</vt:lpstr>
      <vt:lpstr>SW 1</vt:lpstr>
      <vt:lpstr>SW 2</vt:lpstr>
      <vt:lpstr>SW 3</vt:lpstr>
      <vt:lpstr>SW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2024-07-09T07:33:29Z</dcterms:created>
  <dcterms:modified xsi:type="dcterms:W3CDTF">2024-07-09T07:35:53Z</dcterms:modified>
</cp:coreProperties>
</file>