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272BA8C0-DEFE-4EC3-BB36-E9C6FE7ECC99}" xr6:coauthVersionLast="47" xr6:coauthVersionMax="47" xr10:uidLastSave="{4871C826-EA4A-485E-A97D-0E21DC4327D3}"/>
  <bookViews>
    <workbookView xWindow="-110" yWindow="-110" windowWidth="19420" windowHeight="10300" xr2:uid="{49BDACF2-C4AC-4345-A0A2-44C32EE9CE7A}"/>
  </bookViews>
  <sheets>
    <sheet name="Title" sheetId="2" r:id="rId1"/>
    <sheet name="Too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S17" i="1"/>
  <c r="AU15" i="1"/>
  <c r="AQ15" i="1" a="1"/>
  <c r="AQ15" i="1" s="1"/>
  <c r="AK15" i="1"/>
  <c r="AU14" i="1"/>
  <c r="AQ14" i="1" a="1"/>
  <c r="AQ14" i="1" s="1"/>
  <c r="AK14" i="1"/>
  <c r="AU13" i="1"/>
  <c r="AQ13" i="1" a="1"/>
  <c r="AQ13" i="1" s="1"/>
  <c r="AK13" i="1"/>
  <c r="AU12" i="1"/>
  <c r="AQ12" i="1" a="1"/>
  <c r="AQ12" i="1" s="1"/>
  <c r="AK12" i="1"/>
  <c r="S12" i="1"/>
  <c r="AU11" i="1"/>
  <c r="AQ11" i="1" a="1"/>
  <c r="AQ11" i="1" s="1"/>
  <c r="AK11" i="1"/>
  <c r="AU10" i="1"/>
  <c r="AQ10" i="1" a="1"/>
  <c r="AQ10" i="1" s="1"/>
  <c r="AK10" i="1"/>
  <c r="AQ7" i="1"/>
  <c r="AP7" i="1"/>
  <c r="AI7" i="1"/>
  <c r="AH7" i="1"/>
  <c r="AG7" i="1"/>
  <c r="Z19" i="1"/>
  <c r="Y19" i="1"/>
  <c r="X19" i="1"/>
  <c r="W19" i="1"/>
  <c r="AA19" i="1" s="1"/>
  <c r="Z18" i="1"/>
  <c r="Y18" i="1"/>
  <c r="X18" i="1"/>
  <c r="W18" i="1"/>
  <c r="K18" i="1"/>
  <c r="J18" i="1"/>
  <c r="I18" i="1"/>
  <c r="H18" i="1"/>
  <c r="L18" i="1" s="1"/>
  <c r="Z17" i="1"/>
  <c r="AA17" i="1" s="1"/>
  <c r="Y17" i="1"/>
  <c r="X17" i="1"/>
  <c r="W17" i="1"/>
  <c r="L17" i="1"/>
  <c r="K17" i="1"/>
  <c r="J17" i="1"/>
  <c r="I17" i="1"/>
  <c r="H17" i="1"/>
  <c r="Z16" i="1"/>
  <c r="Y16" i="1"/>
  <c r="X16" i="1"/>
  <c r="W16" i="1"/>
  <c r="AA16" i="1" s="1"/>
  <c r="K16" i="1"/>
  <c r="L16" i="1" s="1"/>
  <c r="J16" i="1"/>
  <c r="I16" i="1"/>
  <c r="H16" i="1"/>
  <c r="Z15" i="1"/>
  <c r="Y15" i="1"/>
  <c r="X15" i="1"/>
  <c r="W15" i="1"/>
  <c r="AA15" i="1" s="1"/>
  <c r="K15" i="1"/>
  <c r="J15" i="1"/>
  <c r="I15" i="1"/>
  <c r="H15" i="1"/>
  <c r="AE14" i="1"/>
  <c r="Z14" i="1"/>
  <c r="Y14" i="1"/>
  <c r="X14" i="1"/>
  <c r="AA14" i="1" s="1"/>
  <c r="W14" i="1"/>
  <c r="K14" i="1"/>
  <c r="J14" i="1"/>
  <c r="I14" i="1"/>
  <c r="H14" i="1"/>
  <c r="L14" i="1" s="1"/>
  <c r="Z13" i="1"/>
  <c r="Y13" i="1"/>
  <c r="X13" i="1"/>
  <c r="W13" i="1"/>
  <c r="AA13" i="1" s="1"/>
  <c r="K13" i="1"/>
  <c r="J13" i="1"/>
  <c r="I13" i="1"/>
  <c r="L13" i="1" s="1"/>
  <c r="H13" i="1"/>
  <c r="Z12" i="1"/>
  <c r="Y12" i="1"/>
  <c r="X12" i="1"/>
  <c r="W12" i="1"/>
  <c r="AA12" i="1" s="1"/>
  <c r="K12" i="1"/>
  <c r="J12" i="1"/>
  <c r="I12" i="1"/>
  <c r="H12" i="1"/>
  <c r="L12" i="1" s="1"/>
  <c r="Z11" i="1"/>
  <c r="Y11" i="1"/>
  <c r="X11" i="1"/>
  <c r="W11" i="1"/>
  <c r="AA11" i="1" s="1"/>
  <c r="L11" i="1"/>
  <c r="K11" i="1"/>
  <c r="J11" i="1"/>
  <c r="I11" i="1"/>
  <c r="H11" i="1"/>
  <c r="AF10" i="1"/>
  <c r="Z10" i="1"/>
  <c r="Y10" i="1"/>
  <c r="X10" i="1"/>
  <c r="AA10" i="1" s="1"/>
  <c r="W10" i="1"/>
  <c r="K10" i="1"/>
  <c r="J10" i="1"/>
  <c r="I10" i="1"/>
  <c r="H10" i="1"/>
  <c r="L10" i="1" s="1"/>
  <c r="BB9" i="1"/>
  <c r="BA9" i="1"/>
  <c r="AZ9" i="1"/>
  <c r="AY9" i="1"/>
  <c r="Z9" i="1"/>
  <c r="Y9" i="1"/>
  <c r="X9" i="1"/>
  <c r="W9" i="1"/>
  <c r="AA9" i="1" s="1"/>
  <c r="K9" i="1"/>
  <c r="J9" i="1"/>
  <c r="I9" i="1"/>
  <c r="H9" i="1"/>
  <c r="L9" i="1" s="1"/>
  <c r="BB8" i="1"/>
  <c r="BA8" i="1"/>
  <c r="AZ8" i="1"/>
  <c r="AY8" i="1"/>
  <c r="AA8" i="1"/>
  <c r="Z8" i="1"/>
  <c r="Y8" i="1"/>
  <c r="X8" i="1"/>
  <c r="W8" i="1"/>
  <c r="K8" i="1"/>
  <c r="J8" i="1"/>
  <c r="I8" i="1"/>
  <c r="H8" i="1"/>
  <c r="L8" i="1" s="1"/>
  <c r="BB7" i="1"/>
  <c r="BA7" i="1"/>
  <c r="AZ7" i="1"/>
  <c r="AY7" i="1"/>
  <c r="Z7" i="1"/>
  <c r="Y7" i="1"/>
  <c r="X7" i="1"/>
  <c r="W7" i="1"/>
  <c r="AA7" i="1" s="1"/>
  <c r="K7" i="1"/>
  <c r="L7" i="1" s="1"/>
  <c r="J7" i="1"/>
  <c r="I7" i="1"/>
  <c r="H7" i="1"/>
  <c r="BB6" i="1"/>
  <c r="BA6" i="1"/>
  <c r="AZ6" i="1"/>
  <c r="AY6" i="1"/>
  <c r="AO6" i="1"/>
  <c r="AP12" i="1" s="1"/>
  <c r="AF6" i="1"/>
  <c r="Z6" i="1"/>
  <c r="AA6" i="1" s="1"/>
  <c r="Y6" i="1"/>
  <c r="X6" i="1"/>
  <c r="W6" i="1"/>
  <c r="V6" i="1"/>
  <c r="P6" i="1"/>
  <c r="K6" i="1"/>
  <c r="K20" i="1" s="1"/>
  <c r="J6" i="1"/>
  <c r="I6" i="1"/>
  <c r="H6" i="1"/>
  <c r="A6" i="1"/>
  <c r="BB5" i="1"/>
  <c r="BA5" i="1"/>
  <c r="AZ5" i="1"/>
  <c r="AY5" i="1"/>
  <c r="AO5" i="1"/>
  <c r="AF5" i="1"/>
  <c r="AG11" i="1" s="1"/>
  <c r="AA5" i="1"/>
  <c r="Z5" i="1"/>
  <c r="Y5" i="1"/>
  <c r="X5" i="1"/>
  <c r="W5" i="1"/>
  <c r="V5" i="1"/>
  <c r="L5" i="1"/>
  <c r="K5" i="1"/>
  <c r="J5" i="1"/>
  <c r="I5" i="1"/>
  <c r="H5" i="1"/>
  <c r="G5" i="1"/>
  <c r="A5" i="1"/>
  <c r="BB4" i="1"/>
  <c r="BA4" i="1"/>
  <c r="AZ4" i="1"/>
  <c r="AY4" i="1"/>
  <c r="AO4" i="1"/>
  <c r="AF4" i="1"/>
  <c r="K4" i="1"/>
  <c r="J4" i="1"/>
  <c r="I4" i="1"/>
  <c r="I19" i="1" s="1"/>
  <c r="H4" i="1"/>
  <c r="G4" i="1"/>
  <c r="AO3" i="1"/>
  <c r="AN3" i="1" a="1"/>
  <c r="AN6" i="1" s="1"/>
  <c r="AF3" i="1"/>
  <c r="AG12" i="1" s="1"/>
  <c r="AE4" i="1"/>
  <c r="AE13" i="1" s="1"/>
  <c r="AE3" i="1"/>
  <c r="AE3" i="1" a="1"/>
  <c r="AE6" i="1" s="1"/>
  <c r="Z3" i="1"/>
  <c r="Y3" i="1"/>
  <c r="X3" i="1"/>
  <c r="W3" i="1"/>
  <c r="V3" i="1"/>
  <c r="K3" i="1"/>
  <c r="J3" i="1"/>
  <c r="I3" i="1"/>
  <c r="H3" i="1"/>
  <c r="G3" i="1"/>
  <c r="AO15" i="1" l="1"/>
  <c r="AO12" i="1"/>
  <c r="AO14" i="1"/>
  <c r="AJ7" i="1"/>
  <c r="AI11" i="1" s="1"/>
  <c r="AJ12" i="1"/>
  <c r="AF12" i="1"/>
  <c r="AF14" i="1"/>
  <c r="AE10" i="1"/>
  <c r="AE12" i="1"/>
  <c r="AE11" i="1"/>
  <c r="J19" i="1"/>
  <c r="L6" i="1"/>
  <c r="O5" i="1" s="1"/>
  <c r="AG10" i="1"/>
  <c r="L15" i="1"/>
  <c r="AP15" i="1"/>
  <c r="AH12" i="1"/>
  <c r="AL12" i="1" s="1"/>
  <c r="AN4" i="1"/>
  <c r="AI12" i="1"/>
  <c r="AN5" i="1"/>
  <c r="J20" i="1"/>
  <c r="AN3" i="1"/>
  <c r="P5" i="1"/>
  <c r="AR12" i="1"/>
  <c r="AW12" i="1" s="1"/>
  <c r="AH11" i="1"/>
  <c r="AL11" i="1" s="1"/>
  <c r="AG13" i="1"/>
  <c r="AG14" i="1"/>
  <c r="K19" i="1"/>
  <c r="P12" i="1"/>
  <c r="P17" i="1"/>
  <c r="AP13" i="1"/>
  <c r="A7" i="1"/>
  <c r="G6" i="1"/>
  <c r="V7" i="1"/>
  <c r="AP14" i="1"/>
  <c r="AF15" i="1"/>
  <c r="L4" i="1"/>
  <c r="H19" i="1"/>
  <c r="H20" i="1"/>
  <c r="O8" i="1"/>
  <c r="AG15" i="1"/>
  <c r="AA18" i="1"/>
  <c r="AA21" i="1" s="1"/>
  <c r="AA22" i="1" s="1"/>
  <c r="W26" i="1" s="1"/>
  <c r="AV14" i="1"/>
  <c r="AP11" i="1"/>
  <c r="I20" i="1"/>
  <c r="AE5" i="1"/>
  <c r="AP10" i="1"/>
  <c r="AJ11" i="1" l="1"/>
  <c r="Q5" i="1"/>
  <c r="Y26" i="1"/>
  <c r="AA20" i="1"/>
  <c r="AJ15" i="1"/>
  <c r="AI15" i="1"/>
  <c r="AH15" i="1"/>
  <c r="AL15" i="1" s="1"/>
  <c r="AN15" i="1"/>
  <c r="AO13" i="1"/>
  <c r="AO11" i="1"/>
  <c r="P8" i="1"/>
  <c r="P7" i="1" s="1"/>
  <c r="O6" i="1"/>
  <c r="AF13" i="1"/>
  <c r="AF11" i="1"/>
  <c r="AE15" i="1"/>
  <c r="AR11" i="1"/>
  <c r="AW11" i="1" s="1"/>
  <c r="AV11" i="1"/>
  <c r="AT11" i="1" s="1"/>
  <c r="AV12" i="1"/>
  <c r="AV15" i="1"/>
  <c r="AT15" i="1" s="1"/>
  <c r="AN10" i="1"/>
  <c r="AN12" i="1"/>
  <c r="AN11" i="1"/>
  <c r="AJ14" i="1"/>
  <c r="AI14" i="1"/>
  <c r="AH14" i="1"/>
  <c r="AL14" i="1" s="1"/>
  <c r="AH13" i="1"/>
  <c r="AL13" i="1" s="1"/>
  <c r="AJ13" i="1"/>
  <c r="AI13" i="1"/>
  <c r="AO10" i="1"/>
  <c r="AN13" i="1"/>
  <c r="AN14" i="1"/>
  <c r="AR10" i="1"/>
  <c r="AW10" i="1" s="1"/>
  <c r="A8" i="1"/>
  <c r="G7" i="1"/>
  <c r="V8" i="1"/>
  <c r="AV10" i="1"/>
  <c r="AS10" i="1" s="1"/>
  <c r="L19" i="1"/>
  <c r="L20" i="1"/>
  <c r="AR15" i="1"/>
  <c r="AW15" i="1" s="1"/>
  <c r="AR13" i="1"/>
  <c r="AW13" i="1" s="1"/>
  <c r="AT14" i="1"/>
  <c r="AS14" i="1"/>
  <c r="AR14" i="1"/>
  <c r="AW14" i="1" s="1"/>
  <c r="AJ10" i="1"/>
  <c r="AH10" i="1"/>
  <c r="AL10" i="1" s="1"/>
  <c r="AI10" i="1"/>
  <c r="AV13" i="1"/>
  <c r="AT13" i="1" s="1"/>
  <c r="AS13" i="1" l="1"/>
  <c r="AT10" i="1"/>
  <c r="AS15" i="1"/>
  <c r="O12" i="1"/>
  <c r="O17" i="1"/>
  <c r="Q6" i="1"/>
  <c r="AS11" i="1"/>
  <c r="AS12" i="1"/>
  <c r="AT12" i="1"/>
  <c r="O7" i="1"/>
  <c r="AB26" i="1"/>
  <c r="V26" i="1"/>
  <c r="P18" i="1"/>
  <c r="P13" i="1"/>
  <c r="G8" i="1"/>
  <c r="A9" i="1"/>
  <c r="V9" i="1"/>
  <c r="AC26" i="1" l="1"/>
  <c r="X26" i="1"/>
  <c r="Z26" i="1" s="1"/>
  <c r="AA26" i="1" s="1"/>
  <c r="O13" i="1"/>
  <c r="Q13" i="1" s="1"/>
  <c r="O18" i="1"/>
  <c r="Q18" i="1" s="1"/>
  <c r="Q7" i="1"/>
  <c r="R5" i="1" s="1"/>
  <c r="S5" i="1" s="1"/>
  <c r="T5" i="1"/>
  <c r="R6" i="1"/>
  <c r="S6" i="1" s="1"/>
  <c r="T17" i="1"/>
  <c r="Q17" i="1"/>
  <c r="R17" i="1" s="1"/>
  <c r="A10" i="1"/>
  <c r="G9" i="1"/>
  <c r="V10" i="1"/>
  <c r="T6" i="1"/>
  <c r="Q12" i="1"/>
  <c r="T12" i="1"/>
  <c r="G10" i="1" l="1"/>
  <c r="A11" i="1"/>
  <c r="V11" i="1"/>
  <c r="R12" i="1"/>
  <c r="G11" i="1" l="1"/>
  <c r="A12" i="1"/>
  <c r="V12" i="1"/>
  <c r="A13" i="1" l="1"/>
  <c r="V13" i="1"/>
  <c r="G12" i="1"/>
  <c r="V14" i="1" l="1"/>
  <c r="G13" i="1"/>
  <c r="A14" i="1"/>
  <c r="A15" i="1" l="1"/>
  <c r="V15" i="1"/>
  <c r="G14" i="1"/>
  <c r="A16" i="1" l="1"/>
  <c r="V16" i="1"/>
  <c r="G15" i="1"/>
  <c r="V17" i="1" l="1"/>
  <c r="A17" i="1"/>
  <c r="G16" i="1"/>
  <c r="G17" i="1" l="1"/>
  <c r="V18" i="1"/>
  <c r="A18" i="1"/>
  <c r="G18" i="1" l="1"/>
  <c r="V19" i="1"/>
</calcChain>
</file>

<file path=xl/sharedStrings.xml><?xml version="1.0" encoding="utf-8"?>
<sst xmlns="http://schemas.openxmlformats.org/spreadsheetml/2006/main" count="107" uniqueCount="56">
  <si>
    <t>ANOVA with matched samples -1 within-subjects factor</t>
  </si>
  <si>
    <t>DESCRIPTION</t>
  </si>
  <si>
    <t>Repeated Measures Anova</t>
  </si>
  <si>
    <t>Contrast: repeated measures</t>
  </si>
  <si>
    <t>TUKEY HSD: Repeated Measures Anova</t>
  </si>
  <si>
    <t>Pairwise t tests</t>
  </si>
  <si>
    <t>group</t>
  </si>
  <si>
    <t>mean</t>
  </si>
  <si>
    <t>std err</t>
  </si>
  <si>
    <t>df</t>
  </si>
  <si>
    <t>q-crit</t>
  </si>
  <si>
    <t>mean-crit</t>
  </si>
  <si>
    <t>Subject</t>
  </si>
  <si>
    <t>Before</t>
  </si>
  <si>
    <t>1 week</t>
  </si>
  <si>
    <t>2 weeks</t>
  </si>
  <si>
    <t>3 weeks</t>
  </si>
  <si>
    <t>Mean</t>
  </si>
  <si>
    <t>ANOVA</t>
  </si>
  <si>
    <t>Alpha</t>
  </si>
  <si>
    <t>group 1</t>
  </si>
  <si>
    <t>group 2</t>
  </si>
  <si>
    <t>p-value</t>
  </si>
  <si>
    <t>Sources</t>
  </si>
  <si>
    <t>SS</t>
  </si>
  <si>
    <t>MS</t>
  </si>
  <si>
    <t>F</t>
  </si>
  <si>
    <t>P value</t>
  </si>
  <si>
    <t xml:space="preserve"> P Eta-sq</t>
  </si>
  <si>
    <t>Contrast</t>
  </si>
  <si>
    <t>Diff</t>
  </si>
  <si>
    <t>Subjects</t>
  </si>
  <si>
    <t>Groups</t>
  </si>
  <si>
    <t>Error</t>
  </si>
  <si>
    <t>Total</t>
  </si>
  <si>
    <t>Q TEST</t>
  </si>
  <si>
    <t>alpha</t>
  </si>
  <si>
    <t>q-stat</t>
  </si>
  <si>
    <t>lower</t>
  </si>
  <si>
    <t>upper</t>
  </si>
  <si>
    <t>Cohen d</t>
  </si>
  <si>
    <t>Greenhouse and Geisser</t>
  </si>
  <si>
    <t>Huyhn and Feldt</t>
  </si>
  <si>
    <t>Variance</t>
  </si>
  <si>
    <t>std dev</t>
  </si>
  <si>
    <t>GG epsilon</t>
  </si>
  <si>
    <t>HF epsilon</t>
  </si>
  <si>
    <t>T TEST</t>
  </si>
  <si>
    <t>t-stat</t>
  </si>
  <si>
    <t>sig</t>
  </si>
  <si>
    <t>effect d</t>
  </si>
  <si>
    <t>effect r</t>
  </si>
  <si>
    <t>Real Statistics Using Excel</t>
  </si>
  <si>
    <t>Updated</t>
  </si>
  <si>
    <t>Copyright © 2013 - 2024 Charles Zaiontz</t>
  </si>
  <si>
    <t>Repeated Measures ANOVA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</si>
</sst>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B49-CE86-42DA-833B-7F3A492F5DEC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52</v>
      </c>
    </row>
    <row r="2" spans="1:13" x14ac:dyDescent="0.35">
      <c r="A2" t="s">
        <v>55</v>
      </c>
    </row>
    <row r="4" spans="1:13" x14ac:dyDescent="0.35">
      <c r="A4" t="s">
        <v>53</v>
      </c>
      <c r="B4" s="31">
        <v>45483</v>
      </c>
    </row>
    <row r="6" spans="1:13" x14ac:dyDescent="0.35">
      <c r="A6" s="32" t="s">
        <v>54</v>
      </c>
    </row>
    <row r="10" spans="1:13" ht="18.5" x14ac:dyDescent="0.45">
      <c r="M10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384E-4EF2-41EE-BB4F-448289D9C8EE}">
  <sheetPr codeName="Sheet4"/>
  <dimension ref="A1:BB26"/>
  <sheetViews>
    <sheetView workbookViewId="0"/>
  </sheetViews>
  <sheetFormatPr defaultRowHeight="14.5" x14ac:dyDescent="0.35"/>
  <cols>
    <col min="7" max="7" width="10.453125" customWidth="1"/>
  </cols>
  <sheetData>
    <row r="1" spans="1:54" ht="15" thickBot="1" x14ac:dyDescent="0.4">
      <c r="A1" s="1" t="s">
        <v>0</v>
      </c>
      <c r="G1" t="s">
        <v>1</v>
      </c>
      <c r="N1" t="s">
        <v>2</v>
      </c>
      <c r="V1" t="s">
        <v>3</v>
      </c>
      <c r="AE1" t="s">
        <v>4</v>
      </c>
      <c r="AN1" t="s">
        <v>4</v>
      </c>
      <c r="AY1" t="s">
        <v>5</v>
      </c>
    </row>
    <row r="2" spans="1:54" ht="15.5" thickTop="1" thickBot="1" x14ac:dyDescent="0.4">
      <c r="AE2" s="2" t="s">
        <v>6</v>
      </c>
      <c r="AF2" s="2" t="s">
        <v>7</v>
      </c>
      <c r="AG2" s="2" t="s">
        <v>8</v>
      </c>
      <c r="AH2" s="2" t="s">
        <v>9</v>
      </c>
      <c r="AI2" s="2" t="s">
        <v>10</v>
      </c>
      <c r="AJ2" s="2" t="s">
        <v>11</v>
      </c>
      <c r="AN2" s="2" t="s">
        <v>6</v>
      </c>
      <c r="AO2" s="2" t="s">
        <v>7</v>
      </c>
      <c r="AP2" s="2" t="s">
        <v>9</v>
      </c>
      <c r="AQ2" s="2" t="s">
        <v>10</v>
      </c>
    </row>
    <row r="3" spans="1:54" ht="15.5" thickTop="1" thickBot="1" x14ac:dyDescent="0.4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G3" t="str">
        <f>IF(A3="","",A3)</f>
        <v>Subject</v>
      </c>
      <c r="H3" t="str">
        <f t="shared" ref="H3:K18" si="0">B3</f>
        <v>Before</v>
      </c>
      <c r="I3" t="str">
        <f t="shared" si="0"/>
        <v>1 week</v>
      </c>
      <c r="J3" t="str">
        <f t="shared" si="0"/>
        <v>2 weeks</v>
      </c>
      <c r="K3" t="str">
        <f t="shared" si="0"/>
        <v>3 weeks</v>
      </c>
      <c r="L3" s="3" t="s">
        <v>17</v>
      </c>
      <c r="N3" t="s">
        <v>18</v>
      </c>
      <c r="R3" t="s">
        <v>19</v>
      </c>
      <c r="S3">
        <v>0.05</v>
      </c>
      <c r="V3" t="str">
        <f>IF(A3="","",A3)</f>
        <v>Subject</v>
      </c>
      <c r="W3" t="str">
        <f>B3</f>
        <v>Before</v>
      </c>
      <c r="X3" t="str">
        <f>C3</f>
        <v>1 week</v>
      </c>
      <c r="Y3" t="str">
        <f>D3</f>
        <v>2 weeks</v>
      </c>
      <c r="Z3" t="str">
        <f>E3</f>
        <v>3 weeks</v>
      </c>
      <c r="AE3" s="4" t="str">
        <f t="array" ref="AE3:AE6">TRANSPOSE(B3:E3)</f>
        <v>Before</v>
      </c>
      <c r="AF3" s="4">
        <f>AVERAGE(B4:B18)</f>
        <v>12.533333333333333</v>
      </c>
      <c r="AG3" s="4"/>
      <c r="AH3" s="4"/>
      <c r="AI3" s="4"/>
      <c r="AJ3" s="4"/>
      <c r="AN3" s="4" t="str">
        <f t="array" ref="AN3:AN6">TRANSPOSE(B3:E3)</f>
        <v>Before</v>
      </c>
      <c r="AO3" s="4">
        <f>AVERAGE(B4:B18)</f>
        <v>12.533333333333333</v>
      </c>
      <c r="AP3" s="4"/>
      <c r="AQ3" s="4"/>
      <c r="AY3" s="2" t="s">
        <v>20</v>
      </c>
      <c r="AZ3" s="2" t="s">
        <v>21</v>
      </c>
      <c r="BA3" s="2" t="s">
        <v>22</v>
      </c>
      <c r="BB3" s="2" t="s">
        <v>7</v>
      </c>
    </row>
    <row r="4" spans="1:54" ht="15" thickTop="1" x14ac:dyDescent="0.35">
      <c r="A4" s="3">
        <v>1</v>
      </c>
      <c r="B4" s="6">
        <v>16</v>
      </c>
      <c r="C4" s="7">
        <v>22</v>
      </c>
      <c r="D4" s="7">
        <v>23</v>
      </c>
      <c r="E4" s="8">
        <v>25</v>
      </c>
      <c r="G4">
        <f t="shared" ref="G4:G18" si="1">A4</f>
        <v>1</v>
      </c>
      <c r="H4" s="9">
        <f t="shared" si="0"/>
        <v>16</v>
      </c>
      <c r="I4" s="10">
        <f t="shared" si="0"/>
        <v>22</v>
      </c>
      <c r="J4" s="10">
        <f t="shared" si="0"/>
        <v>23</v>
      </c>
      <c r="K4" s="11">
        <f t="shared" si="0"/>
        <v>25</v>
      </c>
      <c r="L4">
        <f t="shared" ref="L4:L18" si="2">AVERAGE(H4:K4)</f>
        <v>21.5</v>
      </c>
      <c r="N4" s="2" t="s">
        <v>23</v>
      </c>
      <c r="O4" s="2" t="s">
        <v>24</v>
      </c>
      <c r="P4" s="2" t="s">
        <v>9</v>
      </c>
      <c r="Q4" s="2" t="s">
        <v>25</v>
      </c>
      <c r="R4" s="2" t="s">
        <v>26</v>
      </c>
      <c r="S4" s="2" t="s">
        <v>27</v>
      </c>
      <c r="T4" s="2" t="s">
        <v>28</v>
      </c>
      <c r="V4" t="s">
        <v>29</v>
      </c>
      <c r="W4" s="12">
        <v>-0.5</v>
      </c>
      <c r="X4" s="13">
        <v>-0.25</v>
      </c>
      <c r="Y4" s="13">
        <v>-0.25</v>
      </c>
      <c r="Z4" s="14">
        <v>1</v>
      </c>
      <c r="AA4" s="15" t="s">
        <v>30</v>
      </c>
      <c r="AE4" t="str">
        <v>1 week</v>
      </c>
      <c r="AF4">
        <f>AVERAGE(C4:C18)</f>
        <v>18.333333333333332</v>
      </c>
      <c r="AN4" t="str">
        <v>1 week</v>
      </c>
      <c r="AO4">
        <f>AVERAGE(C4:C18)</f>
        <v>18.333333333333332</v>
      </c>
      <c r="AY4" t="str">
        <f>B3</f>
        <v>Before</v>
      </c>
      <c r="AZ4" t="str">
        <f>C3</f>
        <v>1 week</v>
      </c>
      <c r="BA4">
        <f>TTEST(B4:B18,C4:C18,2,1)</f>
        <v>1.6508655145159621E-5</v>
      </c>
      <c r="BB4">
        <f>ABS(AVERAGE(B4:B18)-AVERAGE(C4:C18))</f>
        <v>5.7999999999999989</v>
      </c>
    </row>
    <row r="5" spans="1:54" x14ac:dyDescent="0.35">
      <c r="A5" s="3">
        <f t="shared" ref="A5:A18" si="3">A4+1</f>
        <v>2</v>
      </c>
      <c r="B5" s="16">
        <v>12</v>
      </c>
      <c r="C5" s="3">
        <v>18</v>
      </c>
      <c r="D5" s="3">
        <v>24</v>
      </c>
      <c r="E5" s="17">
        <v>29</v>
      </c>
      <c r="G5">
        <f t="shared" si="1"/>
        <v>2</v>
      </c>
      <c r="H5" s="18">
        <f t="shared" si="0"/>
        <v>12</v>
      </c>
      <c r="I5">
        <f t="shared" si="0"/>
        <v>18</v>
      </c>
      <c r="J5">
        <f t="shared" si="0"/>
        <v>24</v>
      </c>
      <c r="K5" s="19">
        <f t="shared" si="0"/>
        <v>29</v>
      </c>
      <c r="L5">
        <f t="shared" si="2"/>
        <v>20.75</v>
      </c>
      <c r="N5" t="s">
        <v>31</v>
      </c>
      <c r="O5">
        <f>(P6+1)*DEVSQ(L4:L18)</f>
        <v>1938.4333333333334</v>
      </c>
      <c r="P5">
        <f>COUNT(H4:H18)-1</f>
        <v>14</v>
      </c>
      <c r="Q5">
        <f>O5/P5</f>
        <v>138.4595238095238</v>
      </c>
      <c r="R5">
        <f>Q5/Q7</f>
        <v>14.520099875156061</v>
      </c>
      <c r="S5">
        <f>FDIST(R5,P5,P7)</f>
        <v>8.1670607503918935E-12</v>
      </c>
      <c r="T5">
        <f>O5/(O5+O7)</f>
        <v>0.82876809941853835</v>
      </c>
      <c r="V5">
        <f t="shared" ref="V5:Z19" si="4">A4</f>
        <v>1</v>
      </c>
      <c r="W5" s="9">
        <f t="shared" si="4"/>
        <v>16</v>
      </c>
      <c r="X5" s="10">
        <f t="shared" si="4"/>
        <v>22</v>
      </c>
      <c r="Y5" s="10">
        <f t="shared" si="4"/>
        <v>23</v>
      </c>
      <c r="Z5" s="11">
        <f t="shared" si="4"/>
        <v>25</v>
      </c>
      <c r="AA5" s="20">
        <f t="shared" ref="AA5:AA19" si="5">SUMPRODUCT($W$4:$Z$4,W5:Z5)</f>
        <v>5.75</v>
      </c>
      <c r="AE5" t="str">
        <v>2 weeks</v>
      </c>
      <c r="AF5">
        <f>AVERAGE(D4:D18)</f>
        <v>19.933333333333334</v>
      </c>
      <c r="AN5" t="str">
        <v>2 weeks</v>
      </c>
      <c r="AO5">
        <f>AVERAGE(D4:D18)</f>
        <v>19.933333333333334</v>
      </c>
      <c r="AY5" t="str">
        <f>B3</f>
        <v>Before</v>
      </c>
      <c r="AZ5" t="str">
        <f>D3</f>
        <v>2 weeks</v>
      </c>
      <c r="BA5">
        <f>TTEST(B4:B18,D4:D18,2,1)</f>
        <v>1.2058246323385918E-4</v>
      </c>
      <c r="BB5">
        <f>ABS(AVERAGE(B4:B18)-AVERAGE(D4:D18))</f>
        <v>7.4</v>
      </c>
    </row>
    <row r="6" spans="1:54" x14ac:dyDescent="0.35">
      <c r="A6" s="3">
        <f t="shared" si="3"/>
        <v>3</v>
      </c>
      <c r="B6" s="16">
        <v>23</v>
      </c>
      <c r="C6" s="3">
        <v>24</v>
      </c>
      <c r="D6" s="3">
        <v>26</v>
      </c>
      <c r="E6" s="17">
        <v>27</v>
      </c>
      <c r="G6">
        <f t="shared" si="1"/>
        <v>3</v>
      </c>
      <c r="H6" s="18">
        <f t="shared" si="0"/>
        <v>23</v>
      </c>
      <c r="I6">
        <f t="shared" si="0"/>
        <v>24</v>
      </c>
      <c r="J6">
        <f t="shared" si="0"/>
        <v>26</v>
      </c>
      <c r="K6" s="19">
        <f t="shared" si="0"/>
        <v>27</v>
      </c>
      <c r="L6">
        <f t="shared" si="2"/>
        <v>25</v>
      </c>
      <c r="N6" t="s">
        <v>32</v>
      </c>
      <c r="O6">
        <f>(P5+1)*DEVSQ(H19:K19)</f>
        <v>833.25000000000023</v>
      </c>
      <c r="P6">
        <f>COUNT(H4:K4)-1</f>
        <v>3</v>
      </c>
      <c r="Q6">
        <f>O6/P6</f>
        <v>277.75000000000006</v>
      </c>
      <c r="R6">
        <f>Q6/Q7</f>
        <v>29.127340823970059</v>
      </c>
      <c r="S6">
        <f>FDIST(R6,P6,P7)</f>
        <v>2.3962181631669464E-10</v>
      </c>
      <c r="T6">
        <f>O6/(O6+O7)</f>
        <v>0.67537993920972661</v>
      </c>
      <c r="V6">
        <f t="shared" si="4"/>
        <v>2</v>
      </c>
      <c r="W6" s="18">
        <f t="shared" si="4"/>
        <v>12</v>
      </c>
      <c r="X6">
        <f t="shared" si="4"/>
        <v>18</v>
      </c>
      <c r="Y6">
        <f t="shared" si="4"/>
        <v>24</v>
      </c>
      <c r="Z6" s="19">
        <f t="shared" si="4"/>
        <v>29</v>
      </c>
      <c r="AA6" s="21">
        <f t="shared" si="5"/>
        <v>12.5</v>
      </c>
      <c r="AE6" s="5" t="str">
        <v>3 weeks</v>
      </c>
      <c r="AF6" s="5">
        <f>AVERAGE(E4:E18)</f>
        <v>22.733333333333334</v>
      </c>
      <c r="AG6" s="5"/>
      <c r="AH6" s="5"/>
      <c r="AI6" s="5"/>
      <c r="AJ6" s="5"/>
      <c r="AN6" s="5" t="str">
        <v>3 weeks</v>
      </c>
      <c r="AO6" s="5">
        <f>AVERAGE(E4:E18)</f>
        <v>22.733333333333334</v>
      </c>
      <c r="AP6" s="5"/>
      <c r="AQ6" s="5"/>
      <c r="AY6" t="str">
        <f>B3</f>
        <v>Before</v>
      </c>
      <c r="AZ6" t="str">
        <f>E3</f>
        <v>3 weeks</v>
      </c>
      <c r="BA6">
        <f>TTEST(B4:B18,E4:E18,2,1)</f>
        <v>7.6364629723871707E-6</v>
      </c>
      <c r="BB6">
        <f>ABS(AVERAGE(B4:B18)-AVERAGE(E4:E18))</f>
        <v>10.200000000000001</v>
      </c>
    </row>
    <row r="7" spans="1:54" x14ac:dyDescent="0.35">
      <c r="A7" s="3">
        <f t="shared" si="3"/>
        <v>4</v>
      </c>
      <c r="B7" s="16">
        <v>8</v>
      </c>
      <c r="C7" s="3">
        <v>20</v>
      </c>
      <c r="D7" s="3">
        <v>28</v>
      </c>
      <c r="E7" s="17">
        <v>30</v>
      </c>
      <c r="G7">
        <f t="shared" si="1"/>
        <v>4</v>
      </c>
      <c r="H7" s="18">
        <f t="shared" si="0"/>
        <v>8</v>
      </c>
      <c r="I7">
        <f t="shared" si="0"/>
        <v>20</v>
      </c>
      <c r="J7">
        <f t="shared" si="0"/>
        <v>28</v>
      </c>
      <c r="K7" s="19">
        <f t="shared" si="0"/>
        <v>30</v>
      </c>
      <c r="L7">
        <f t="shared" si="2"/>
        <v>21.5</v>
      </c>
      <c r="N7" t="s">
        <v>33</v>
      </c>
      <c r="O7">
        <f>O8-O5-O6</f>
        <v>400.49999999999977</v>
      </c>
      <c r="P7">
        <f>P8-P5-P6</f>
        <v>42</v>
      </c>
      <c r="Q7">
        <f>O7/P7</f>
        <v>9.5357142857142811</v>
      </c>
      <c r="V7">
        <f t="shared" si="4"/>
        <v>3</v>
      </c>
      <c r="W7" s="18">
        <f t="shared" si="4"/>
        <v>23</v>
      </c>
      <c r="X7">
        <f t="shared" si="4"/>
        <v>24</v>
      </c>
      <c r="Y7">
        <f t="shared" si="4"/>
        <v>26</v>
      </c>
      <c r="Z7" s="19">
        <f t="shared" si="4"/>
        <v>27</v>
      </c>
      <c r="AA7" s="21">
        <f t="shared" si="5"/>
        <v>3</v>
      </c>
      <c r="AG7" t="e">
        <f ca="1">SQRT(MSWF(B4:E18,1)/COUNT(B4:B18))</f>
        <v>#NAME?</v>
      </c>
      <c r="AH7" t="e">
        <f ca="1">dfWF(B4:E18,1)</f>
        <v>#NAME?</v>
      </c>
      <c r="AI7" t="e">
        <f ca="1">QCRIT(COUNT(AF3:AF6),AH7,AL8,2)</f>
        <v>#NAME?</v>
      </c>
      <c r="AJ7" t="e">
        <f ca="1">AG7*AI7</f>
        <v>#NAME?</v>
      </c>
      <c r="AP7" t="e">
        <f ca="1">dfWF(B4:E18,1)</f>
        <v>#NAME?</v>
      </c>
      <c r="AQ7" t="e">
        <f ca="1">QCRIT(COUNT(AO3:AO6),AP7,AU8,2)</f>
        <v>#NAME?</v>
      </c>
      <c r="AY7" t="str">
        <f>C3</f>
        <v>1 week</v>
      </c>
      <c r="AZ7" t="str">
        <f>D3</f>
        <v>2 weeks</v>
      </c>
      <c r="BA7">
        <f>TTEST(C4:C18,D4:D18,2,1)</f>
        <v>0.17211677925517038</v>
      </c>
      <c r="BB7">
        <f>ABS(AVERAGE(C4:C18)-AVERAGE(D4:D18))</f>
        <v>1.6000000000000014</v>
      </c>
    </row>
    <row r="8" spans="1:54" ht="15" thickBot="1" x14ac:dyDescent="0.4">
      <c r="A8" s="3">
        <f t="shared" si="3"/>
        <v>5</v>
      </c>
      <c r="B8" s="16">
        <v>3</v>
      </c>
      <c r="C8" s="3">
        <v>12</v>
      </c>
      <c r="D8" s="3">
        <v>13</v>
      </c>
      <c r="E8" s="17">
        <v>17</v>
      </c>
      <c r="G8">
        <f t="shared" si="1"/>
        <v>5</v>
      </c>
      <c r="H8" s="18">
        <f t="shared" si="0"/>
        <v>3</v>
      </c>
      <c r="I8">
        <f t="shared" si="0"/>
        <v>12</v>
      </c>
      <c r="J8">
        <f t="shared" si="0"/>
        <v>13</v>
      </c>
      <c r="K8" s="19">
        <f t="shared" si="0"/>
        <v>17</v>
      </c>
      <c r="L8">
        <f t="shared" si="2"/>
        <v>11.25</v>
      </c>
      <c r="N8" t="s">
        <v>34</v>
      </c>
      <c r="O8">
        <f>DEVSQ(H4:K18)</f>
        <v>3172.1833333333334</v>
      </c>
      <c r="P8">
        <f>(P5+1)*(P6+1)-1</f>
        <v>59</v>
      </c>
      <c r="V8">
        <f t="shared" si="4"/>
        <v>4</v>
      </c>
      <c r="W8" s="18">
        <f t="shared" si="4"/>
        <v>8</v>
      </c>
      <c r="X8">
        <f t="shared" si="4"/>
        <v>20</v>
      </c>
      <c r="Y8">
        <f t="shared" si="4"/>
        <v>28</v>
      </c>
      <c r="Z8" s="19">
        <f t="shared" si="4"/>
        <v>30</v>
      </c>
      <c r="AA8" s="21">
        <f t="shared" si="5"/>
        <v>14</v>
      </c>
      <c r="AE8" t="s">
        <v>35</v>
      </c>
      <c r="AK8" s="3" t="s">
        <v>36</v>
      </c>
      <c r="AL8">
        <v>0.05</v>
      </c>
      <c r="AN8" t="s">
        <v>35</v>
      </c>
      <c r="AT8" s="3" t="s">
        <v>36</v>
      </c>
      <c r="AU8">
        <v>0.05</v>
      </c>
      <c r="AY8" t="str">
        <f>C3</f>
        <v>1 week</v>
      </c>
      <c r="AZ8" t="str">
        <f>E3</f>
        <v>3 weeks</v>
      </c>
      <c r="BA8">
        <f>TTEST(C4:C18,E4:E18,2,1)</f>
        <v>1.7508261818289068E-3</v>
      </c>
      <c r="BB8">
        <f>ABS(AVERAGE(C4:C18)-AVERAGE(E4:E18))</f>
        <v>4.4000000000000021</v>
      </c>
    </row>
    <row r="9" spans="1:54" ht="15" thickTop="1" x14ac:dyDescent="0.35">
      <c r="A9" s="3">
        <f t="shared" si="3"/>
        <v>6</v>
      </c>
      <c r="B9" s="16">
        <v>5</v>
      </c>
      <c r="C9" s="3">
        <v>13</v>
      </c>
      <c r="D9" s="3">
        <v>11</v>
      </c>
      <c r="E9" s="17">
        <v>15</v>
      </c>
      <c r="G9">
        <f t="shared" si="1"/>
        <v>6</v>
      </c>
      <c r="H9" s="18">
        <f t="shared" si="0"/>
        <v>5</v>
      </c>
      <c r="I9">
        <f t="shared" si="0"/>
        <v>13</v>
      </c>
      <c r="J9">
        <f t="shared" si="0"/>
        <v>11</v>
      </c>
      <c r="K9" s="19">
        <f t="shared" si="0"/>
        <v>15</v>
      </c>
      <c r="L9">
        <f t="shared" si="2"/>
        <v>11</v>
      </c>
      <c r="N9" s="4"/>
      <c r="O9" s="4"/>
      <c r="P9" s="4"/>
      <c r="Q9" s="4"/>
      <c r="R9" s="4"/>
      <c r="S9" s="4"/>
      <c r="T9" s="4"/>
      <c r="V9">
        <f t="shared" si="4"/>
        <v>5</v>
      </c>
      <c r="W9" s="18">
        <f t="shared" si="4"/>
        <v>3</v>
      </c>
      <c r="X9">
        <f t="shared" si="4"/>
        <v>12</v>
      </c>
      <c r="Y9">
        <f t="shared" si="4"/>
        <v>13</v>
      </c>
      <c r="Z9" s="19">
        <f t="shared" si="4"/>
        <v>17</v>
      </c>
      <c r="AA9" s="21">
        <f t="shared" si="5"/>
        <v>9.25</v>
      </c>
      <c r="AE9" s="2" t="s">
        <v>20</v>
      </c>
      <c r="AF9" s="2" t="s">
        <v>21</v>
      </c>
      <c r="AG9" s="2" t="s">
        <v>7</v>
      </c>
      <c r="AH9" s="2" t="s">
        <v>37</v>
      </c>
      <c r="AI9" s="2" t="s">
        <v>38</v>
      </c>
      <c r="AJ9" s="2" t="s">
        <v>39</v>
      </c>
      <c r="AK9" s="2" t="s">
        <v>22</v>
      </c>
      <c r="AL9" s="2" t="s">
        <v>40</v>
      </c>
      <c r="AN9" s="2" t="s">
        <v>20</v>
      </c>
      <c r="AO9" s="2" t="s">
        <v>21</v>
      </c>
      <c r="AP9" s="2" t="s">
        <v>7</v>
      </c>
      <c r="AQ9" s="2" t="s">
        <v>8</v>
      </c>
      <c r="AR9" s="2" t="s">
        <v>37</v>
      </c>
      <c r="AS9" s="2" t="s">
        <v>38</v>
      </c>
      <c r="AT9" s="2" t="s">
        <v>39</v>
      </c>
      <c r="AU9" s="2" t="s">
        <v>22</v>
      </c>
      <c r="AV9" s="2" t="s">
        <v>11</v>
      </c>
      <c r="AW9" s="2" t="s">
        <v>40</v>
      </c>
      <c r="AY9" s="5" t="str">
        <f>D3</f>
        <v>2 weeks</v>
      </c>
      <c r="AZ9" s="5" t="str">
        <f>E3</f>
        <v>3 weeks</v>
      </c>
      <c r="BA9" s="5">
        <f>TTEST(D4:D18,E4:E18,2,1)</f>
        <v>1.8513365093508265E-7</v>
      </c>
      <c r="BB9" s="5">
        <f>ABS(AVERAGE(D4:D18)-AVERAGE(E4:E18))</f>
        <v>2.8000000000000007</v>
      </c>
    </row>
    <row r="10" spans="1:54" ht="15" thickBot="1" x14ac:dyDescent="0.4">
      <c r="A10" s="3">
        <f t="shared" si="3"/>
        <v>7</v>
      </c>
      <c r="B10" s="16">
        <v>19</v>
      </c>
      <c r="C10" s="3">
        <v>22</v>
      </c>
      <c r="D10" s="3">
        <v>25</v>
      </c>
      <c r="E10" s="17">
        <v>26</v>
      </c>
      <c r="G10">
        <f t="shared" si="1"/>
        <v>7</v>
      </c>
      <c r="H10" s="18">
        <f t="shared" si="0"/>
        <v>19</v>
      </c>
      <c r="I10">
        <f t="shared" si="0"/>
        <v>22</v>
      </c>
      <c r="J10">
        <f t="shared" si="0"/>
        <v>25</v>
      </c>
      <c r="K10" s="19">
        <f t="shared" si="0"/>
        <v>26</v>
      </c>
      <c r="L10">
        <f t="shared" si="2"/>
        <v>23</v>
      </c>
      <c r="N10" t="s">
        <v>41</v>
      </c>
      <c r="R10" t="s">
        <v>19</v>
      </c>
      <c r="S10">
        <v>0.05</v>
      </c>
      <c r="V10">
        <f t="shared" si="4"/>
        <v>6</v>
      </c>
      <c r="W10" s="18">
        <f t="shared" si="4"/>
        <v>5</v>
      </c>
      <c r="X10">
        <f t="shared" si="4"/>
        <v>13</v>
      </c>
      <c r="Y10">
        <f t="shared" si="4"/>
        <v>11</v>
      </c>
      <c r="Z10" s="19">
        <f t="shared" si="4"/>
        <v>15</v>
      </c>
      <c r="AA10" s="21">
        <f t="shared" si="5"/>
        <v>6.5</v>
      </c>
      <c r="AE10" s="4" t="str">
        <f>AE3</f>
        <v>Before</v>
      </c>
      <c r="AF10" s="4" t="str">
        <f>AE4</f>
        <v>1 week</v>
      </c>
      <c r="AG10" s="4">
        <f>ABS(AF3-AF4)</f>
        <v>5.7999999999999989</v>
      </c>
      <c r="AH10" s="4" t="e">
        <f t="shared" ref="AH10:AH15" ca="1" si="6">AG10/AG$7</f>
        <v>#NAME?</v>
      </c>
      <c r="AI10" s="4" t="e">
        <f t="shared" ref="AI10:AI15" ca="1" si="7">AG10-AJ$7</f>
        <v>#NAME?</v>
      </c>
      <c r="AJ10" s="4" t="e">
        <f t="shared" ref="AJ10:AJ15" ca="1" si="8">AG10+AJ$7</f>
        <v>#NAME?</v>
      </c>
      <c r="AK10" s="4" t="e">
        <f ca="1">QDIST(AH10,COUNT(AF$3:AF$6),AH$7)</f>
        <v>#NAME?</v>
      </c>
      <c r="AL10" s="4" t="e">
        <f t="shared" ref="AL10:AL15" ca="1" si="9">AH10/SQRT(COUNT(B$4:B$18))</f>
        <v>#NAME?</v>
      </c>
      <c r="AN10" s="4" t="str">
        <f>AN3</f>
        <v>Before</v>
      </c>
      <c r="AO10" s="4" t="str">
        <f>AN4</f>
        <v>1 week</v>
      </c>
      <c r="AP10" s="4">
        <f>ABS(AO3-AO4)</f>
        <v>5.7999999999999989</v>
      </c>
      <c r="AQ10" s="4" t="e">
        <f t="array" aca="1" ref="AQ10" ca="1">STDERR(B4:B18-C4:C18)</f>
        <v>#NAME?</v>
      </c>
      <c r="AR10" s="4" t="e">
        <f t="shared" ref="AR10:AR15" ca="1" si="10">AP10/AQ10</f>
        <v>#NAME?</v>
      </c>
      <c r="AS10" s="4" t="e">
        <f t="shared" ref="AS10:AS15" ca="1" si="11">AP10-AV10</f>
        <v>#NAME?</v>
      </c>
      <c r="AT10" s="4" t="e">
        <f t="shared" ref="AT10:AT15" ca="1" si="12">AP10+AV10</f>
        <v>#NAME?</v>
      </c>
      <c r="AU10" s="4" t="e">
        <f ca="1">QDIST(AR10,COUNT(AO$3:AO$6),AP$7)</f>
        <v>#NAME?</v>
      </c>
      <c r="AV10" s="4" t="e">
        <f t="shared" ref="AV10:AV15" ca="1" si="13">AQ10*AQ$7</f>
        <v>#NAME?</v>
      </c>
      <c r="AW10" s="4" t="e">
        <f t="shared" ref="AW10:AW15" ca="1" si="14">AR10/SQRT(COUNT(B$4:B$18))</f>
        <v>#NAME?</v>
      </c>
    </row>
    <row r="11" spans="1:54" ht="15" thickTop="1" x14ac:dyDescent="0.35">
      <c r="A11" s="3">
        <f t="shared" si="3"/>
        <v>8</v>
      </c>
      <c r="B11" s="16">
        <v>22</v>
      </c>
      <c r="C11" s="3">
        <v>22</v>
      </c>
      <c r="D11" s="3">
        <v>23</v>
      </c>
      <c r="E11" s="17">
        <v>26</v>
      </c>
      <c r="G11">
        <f t="shared" si="1"/>
        <v>8</v>
      </c>
      <c r="H11" s="18">
        <f t="shared" si="0"/>
        <v>22</v>
      </c>
      <c r="I11">
        <f t="shared" si="0"/>
        <v>22</v>
      </c>
      <c r="J11">
        <f t="shared" si="0"/>
        <v>23</v>
      </c>
      <c r="K11" s="19">
        <f t="shared" si="0"/>
        <v>26</v>
      </c>
      <c r="L11">
        <f t="shared" si="2"/>
        <v>23.25</v>
      </c>
      <c r="N11" s="2" t="s">
        <v>23</v>
      </c>
      <c r="O11" s="2" t="s">
        <v>24</v>
      </c>
      <c r="P11" s="2" t="s">
        <v>9</v>
      </c>
      <c r="Q11" s="2" t="s">
        <v>25</v>
      </c>
      <c r="R11" s="2" t="s">
        <v>26</v>
      </c>
      <c r="S11" s="2" t="s">
        <v>27</v>
      </c>
      <c r="T11" s="2" t="s">
        <v>28</v>
      </c>
      <c r="V11">
        <f t="shared" si="4"/>
        <v>7</v>
      </c>
      <c r="W11" s="18">
        <f t="shared" si="4"/>
        <v>19</v>
      </c>
      <c r="X11">
        <f t="shared" si="4"/>
        <v>22</v>
      </c>
      <c r="Y11">
        <f t="shared" si="4"/>
        <v>25</v>
      </c>
      <c r="Z11" s="19">
        <f t="shared" si="4"/>
        <v>26</v>
      </c>
      <c r="AA11" s="21">
        <f t="shared" si="5"/>
        <v>4.75</v>
      </c>
      <c r="AE11" t="str">
        <f>AE3</f>
        <v>Before</v>
      </c>
      <c r="AF11" t="str">
        <f>AE5</f>
        <v>2 weeks</v>
      </c>
      <c r="AG11">
        <f>ABS(AF3-AF5)</f>
        <v>7.4</v>
      </c>
      <c r="AH11" t="e">
        <f t="shared" ca="1" si="6"/>
        <v>#NAME?</v>
      </c>
      <c r="AI11" t="e">
        <f t="shared" ca="1" si="7"/>
        <v>#NAME?</v>
      </c>
      <c r="AJ11" t="e">
        <f t="shared" ca="1" si="8"/>
        <v>#NAME?</v>
      </c>
      <c r="AK11" t="e">
        <f ca="1">QDIST(AH11,COUNT(AF$3:AF$6),AH$7)</f>
        <v>#NAME?</v>
      </c>
      <c r="AL11" t="e">
        <f t="shared" ca="1" si="9"/>
        <v>#NAME?</v>
      </c>
      <c r="AN11" t="str">
        <f>AN3</f>
        <v>Before</v>
      </c>
      <c r="AO11" t="str">
        <f>AN5</f>
        <v>2 weeks</v>
      </c>
      <c r="AP11">
        <f>ABS(AO3-AO5)</f>
        <v>7.4</v>
      </c>
      <c r="AQ11" t="e">
        <f t="array" aca="1" ref="AQ11" ca="1">STDERR(B4:B18-D4:D18)</f>
        <v>#NAME?</v>
      </c>
      <c r="AR11" t="e">
        <f t="shared" ca="1" si="10"/>
        <v>#NAME?</v>
      </c>
      <c r="AS11" t="e">
        <f t="shared" ca="1" si="11"/>
        <v>#NAME?</v>
      </c>
      <c r="AT11" t="e">
        <f t="shared" ca="1" si="12"/>
        <v>#NAME?</v>
      </c>
      <c r="AU11" t="e">
        <f ca="1">QDIST(AR11,COUNT(AO$3:AO$6),AP$7)</f>
        <v>#NAME?</v>
      </c>
      <c r="AV11" t="e">
        <f t="shared" ca="1" si="13"/>
        <v>#NAME?</v>
      </c>
      <c r="AW11" t="e">
        <f t="shared" ca="1" si="14"/>
        <v>#NAME?</v>
      </c>
    </row>
    <row r="12" spans="1:54" x14ac:dyDescent="0.35">
      <c r="A12" s="3">
        <f t="shared" si="3"/>
        <v>9</v>
      </c>
      <c r="B12" s="16">
        <v>12</v>
      </c>
      <c r="C12" s="3">
        <v>20</v>
      </c>
      <c r="D12" s="3">
        <v>22</v>
      </c>
      <c r="E12" s="17">
        <v>24</v>
      </c>
      <c r="G12">
        <f t="shared" si="1"/>
        <v>9</v>
      </c>
      <c r="H12" s="18">
        <f t="shared" si="0"/>
        <v>12</v>
      </c>
      <c r="I12">
        <f t="shared" si="0"/>
        <v>20</v>
      </c>
      <c r="J12">
        <f t="shared" si="0"/>
        <v>22</v>
      </c>
      <c r="K12" s="19">
        <f t="shared" si="0"/>
        <v>24</v>
      </c>
      <c r="L12">
        <f t="shared" si="2"/>
        <v>19.5</v>
      </c>
      <c r="N12" t="s">
        <v>32</v>
      </c>
      <c r="O12">
        <f>O6</f>
        <v>833.25000000000023</v>
      </c>
      <c r="P12" t="e">
        <f ca="1">P6*H22</f>
        <v>#NAME?</v>
      </c>
      <c r="Q12" t="e">
        <f ca="1">O12/P12</f>
        <v>#NAME?</v>
      </c>
      <c r="R12" t="e">
        <f ca="1">Q12/Q13</f>
        <v>#NAME?</v>
      </c>
      <c r="S12" t="e">
        <f ca="1">F_DIST_RT(R12,P12,P13)</f>
        <v>#NAME?</v>
      </c>
      <c r="T12">
        <f>O12/(O12+O13)</f>
        <v>0.67537993920972661</v>
      </c>
      <c r="V12">
        <f t="shared" si="4"/>
        <v>8</v>
      </c>
      <c r="W12" s="18">
        <f t="shared" si="4"/>
        <v>22</v>
      </c>
      <c r="X12">
        <f t="shared" si="4"/>
        <v>22</v>
      </c>
      <c r="Y12">
        <f t="shared" si="4"/>
        <v>23</v>
      </c>
      <c r="Z12" s="19">
        <f t="shared" si="4"/>
        <v>26</v>
      </c>
      <c r="AA12" s="21">
        <f t="shared" si="5"/>
        <v>3.75</v>
      </c>
      <c r="AE12" t="str">
        <f>AE3</f>
        <v>Before</v>
      </c>
      <c r="AF12" t="str">
        <f>AE6</f>
        <v>3 weeks</v>
      </c>
      <c r="AG12">
        <f>ABS(AF3-AF6)</f>
        <v>10.200000000000001</v>
      </c>
      <c r="AH12" t="e">
        <f t="shared" ca="1" si="6"/>
        <v>#NAME?</v>
      </c>
      <c r="AI12" t="e">
        <f t="shared" ca="1" si="7"/>
        <v>#NAME?</v>
      </c>
      <c r="AJ12" t="e">
        <f t="shared" ca="1" si="8"/>
        <v>#NAME?</v>
      </c>
      <c r="AK12" t="e">
        <f ca="1">QDIST(AH12,COUNT(AF$3:AF$6),AH$7)</f>
        <v>#NAME?</v>
      </c>
      <c r="AL12" t="e">
        <f t="shared" ca="1" si="9"/>
        <v>#NAME?</v>
      </c>
      <c r="AN12" t="str">
        <f>AN3</f>
        <v>Before</v>
      </c>
      <c r="AO12" t="str">
        <f>AN6</f>
        <v>3 weeks</v>
      </c>
      <c r="AP12">
        <f>ABS(AO3-AO6)</f>
        <v>10.200000000000001</v>
      </c>
      <c r="AQ12" t="e">
        <f t="array" aca="1" ref="AQ12" ca="1">STDERR(B4:B18-E4:E18)</f>
        <v>#NAME?</v>
      </c>
      <c r="AR12" t="e">
        <f t="shared" ca="1" si="10"/>
        <v>#NAME?</v>
      </c>
      <c r="AS12" t="e">
        <f t="shared" ca="1" si="11"/>
        <v>#NAME?</v>
      </c>
      <c r="AT12" t="e">
        <f t="shared" ca="1" si="12"/>
        <v>#NAME?</v>
      </c>
      <c r="AU12" t="e">
        <f ca="1">QDIST(AR12,COUNT(AO$3:AO$6),AP$7)</f>
        <v>#NAME?</v>
      </c>
      <c r="AV12" t="e">
        <f t="shared" ca="1" si="13"/>
        <v>#NAME?</v>
      </c>
      <c r="AW12" t="e">
        <f t="shared" ca="1" si="14"/>
        <v>#NAME?</v>
      </c>
    </row>
    <row r="13" spans="1:54" x14ac:dyDescent="0.35">
      <c r="A13" s="3">
        <f t="shared" si="3"/>
        <v>10</v>
      </c>
      <c r="B13" s="16">
        <v>16</v>
      </c>
      <c r="C13" s="3">
        <v>22</v>
      </c>
      <c r="D13" s="3">
        <v>26</v>
      </c>
      <c r="E13" s="17">
        <v>29</v>
      </c>
      <c r="G13">
        <f t="shared" si="1"/>
        <v>10</v>
      </c>
      <c r="H13" s="18">
        <f t="shared" si="0"/>
        <v>16</v>
      </c>
      <c r="I13">
        <f t="shared" si="0"/>
        <v>22</v>
      </c>
      <c r="J13">
        <f t="shared" si="0"/>
        <v>26</v>
      </c>
      <c r="K13" s="19">
        <f t="shared" si="0"/>
        <v>29</v>
      </c>
      <c r="L13">
        <f t="shared" si="2"/>
        <v>23.25</v>
      </c>
      <c r="N13" t="s">
        <v>33</v>
      </c>
      <c r="O13">
        <f>O7</f>
        <v>400.49999999999977</v>
      </c>
      <c r="P13" t="e">
        <f ca="1">P7*H22</f>
        <v>#NAME?</v>
      </c>
      <c r="Q13" t="e">
        <f ca="1">O13/P13</f>
        <v>#NAME?</v>
      </c>
      <c r="V13">
        <f t="shared" si="4"/>
        <v>9</v>
      </c>
      <c r="W13" s="18">
        <f t="shared" si="4"/>
        <v>12</v>
      </c>
      <c r="X13">
        <f t="shared" si="4"/>
        <v>20</v>
      </c>
      <c r="Y13">
        <f t="shared" si="4"/>
        <v>22</v>
      </c>
      <c r="Z13" s="19">
        <f t="shared" si="4"/>
        <v>24</v>
      </c>
      <c r="AA13" s="21">
        <f t="shared" si="5"/>
        <v>7.5</v>
      </c>
      <c r="AE13" t="str">
        <f>AE4</f>
        <v>1 week</v>
      </c>
      <c r="AF13" t="str">
        <f>AE5</f>
        <v>2 weeks</v>
      </c>
      <c r="AG13">
        <f>ABS(AF4-AF5)</f>
        <v>1.6000000000000014</v>
      </c>
      <c r="AH13" t="e">
        <f t="shared" ca="1" si="6"/>
        <v>#NAME?</v>
      </c>
      <c r="AI13" t="e">
        <f t="shared" ca="1" si="7"/>
        <v>#NAME?</v>
      </c>
      <c r="AJ13" t="e">
        <f t="shared" ca="1" si="8"/>
        <v>#NAME?</v>
      </c>
      <c r="AK13" t="e">
        <f ca="1">QDIST(AH13,COUNT(AF$3:AF$6),AH$7)</f>
        <v>#NAME?</v>
      </c>
      <c r="AL13" t="e">
        <f t="shared" ca="1" si="9"/>
        <v>#NAME?</v>
      </c>
      <c r="AN13" t="str">
        <f>AN4</f>
        <v>1 week</v>
      </c>
      <c r="AO13" t="str">
        <f>AN5</f>
        <v>2 weeks</v>
      </c>
      <c r="AP13">
        <f>ABS(AO4-AO5)</f>
        <v>1.6000000000000014</v>
      </c>
      <c r="AQ13" t="e">
        <f t="array" aca="1" ref="AQ13" ca="1">STDERR(C4:C18-D4:D18)</f>
        <v>#NAME?</v>
      </c>
      <c r="AR13" t="e">
        <f t="shared" ca="1" si="10"/>
        <v>#NAME?</v>
      </c>
      <c r="AS13" t="e">
        <f t="shared" ca="1" si="11"/>
        <v>#NAME?</v>
      </c>
      <c r="AT13" t="e">
        <f t="shared" ca="1" si="12"/>
        <v>#NAME?</v>
      </c>
      <c r="AU13" t="e">
        <f ca="1">QDIST(AR13,COUNT(AO$3:AO$6),AP$7)</f>
        <v>#NAME?</v>
      </c>
      <c r="AV13" t="e">
        <f t="shared" ca="1" si="13"/>
        <v>#NAME?</v>
      </c>
      <c r="AW13" t="e">
        <f t="shared" ca="1" si="14"/>
        <v>#NAME?</v>
      </c>
    </row>
    <row r="14" spans="1:54" x14ac:dyDescent="0.35">
      <c r="A14" s="3">
        <f t="shared" si="3"/>
        <v>11</v>
      </c>
      <c r="B14" s="16">
        <v>14</v>
      </c>
      <c r="C14" s="3">
        <v>25</v>
      </c>
      <c r="D14" s="3">
        <v>18</v>
      </c>
      <c r="E14" s="17">
        <v>21</v>
      </c>
      <c r="G14">
        <f t="shared" si="1"/>
        <v>11</v>
      </c>
      <c r="H14" s="18">
        <f t="shared" si="0"/>
        <v>14</v>
      </c>
      <c r="I14">
        <f t="shared" si="0"/>
        <v>25</v>
      </c>
      <c r="J14">
        <f t="shared" si="0"/>
        <v>18</v>
      </c>
      <c r="K14" s="19">
        <f t="shared" si="0"/>
        <v>21</v>
      </c>
      <c r="L14">
        <f t="shared" si="2"/>
        <v>19.5</v>
      </c>
      <c r="N14" s="4"/>
      <c r="O14" s="4"/>
      <c r="P14" s="4"/>
      <c r="Q14" s="4"/>
      <c r="R14" s="4"/>
      <c r="S14" s="4"/>
      <c r="T14" s="4"/>
      <c r="V14">
        <f t="shared" si="4"/>
        <v>10</v>
      </c>
      <c r="W14" s="18">
        <f t="shared" si="4"/>
        <v>16</v>
      </c>
      <c r="X14">
        <f t="shared" si="4"/>
        <v>22</v>
      </c>
      <c r="Y14">
        <f t="shared" si="4"/>
        <v>26</v>
      </c>
      <c r="Z14" s="19">
        <f t="shared" si="4"/>
        <v>29</v>
      </c>
      <c r="AA14" s="21">
        <f t="shared" si="5"/>
        <v>9</v>
      </c>
      <c r="AE14" t="str">
        <f>AE4</f>
        <v>1 week</v>
      </c>
      <c r="AF14" t="str">
        <f>AE6</f>
        <v>3 weeks</v>
      </c>
      <c r="AG14">
        <f>ABS(AF4-AF6)</f>
        <v>4.4000000000000021</v>
      </c>
      <c r="AH14" t="e">
        <f t="shared" ca="1" si="6"/>
        <v>#NAME?</v>
      </c>
      <c r="AI14" t="e">
        <f t="shared" ca="1" si="7"/>
        <v>#NAME?</v>
      </c>
      <c r="AJ14" t="e">
        <f t="shared" ca="1" si="8"/>
        <v>#NAME?</v>
      </c>
      <c r="AK14" t="e">
        <f ca="1">QDIST(AH14,COUNT(AF$3:AF$6),AH$7)</f>
        <v>#NAME?</v>
      </c>
      <c r="AL14" t="e">
        <f t="shared" ca="1" si="9"/>
        <v>#NAME?</v>
      </c>
      <c r="AN14" t="str">
        <f>AN4</f>
        <v>1 week</v>
      </c>
      <c r="AO14" t="str">
        <f>AN6</f>
        <v>3 weeks</v>
      </c>
      <c r="AP14">
        <f>ABS(AO4-AO6)</f>
        <v>4.4000000000000021</v>
      </c>
      <c r="AQ14" t="e">
        <f t="array" aca="1" ref="AQ14" ca="1">STDERR(C4:C18-E4:E18)</f>
        <v>#NAME?</v>
      </c>
      <c r="AR14" t="e">
        <f t="shared" ca="1" si="10"/>
        <v>#NAME?</v>
      </c>
      <c r="AS14" t="e">
        <f t="shared" ca="1" si="11"/>
        <v>#NAME?</v>
      </c>
      <c r="AT14" t="e">
        <f t="shared" ca="1" si="12"/>
        <v>#NAME?</v>
      </c>
      <c r="AU14" t="e">
        <f ca="1">QDIST(AR14,COUNT(AO$3:AO$6),AP$7)</f>
        <v>#NAME?</v>
      </c>
      <c r="AV14" t="e">
        <f t="shared" ca="1" si="13"/>
        <v>#NAME?</v>
      </c>
      <c r="AW14" t="e">
        <f t="shared" ca="1" si="14"/>
        <v>#NAME?</v>
      </c>
    </row>
    <row r="15" spans="1:54" ht="15" thickBot="1" x14ac:dyDescent="0.4">
      <c r="A15" s="3">
        <f t="shared" si="3"/>
        <v>12</v>
      </c>
      <c r="B15" s="16">
        <v>24</v>
      </c>
      <c r="C15" s="3">
        <v>26</v>
      </c>
      <c r="D15" s="3">
        <v>21</v>
      </c>
      <c r="E15" s="17">
        <v>23</v>
      </c>
      <c r="G15">
        <f t="shared" si="1"/>
        <v>12</v>
      </c>
      <c r="H15" s="18">
        <f t="shared" si="0"/>
        <v>24</v>
      </c>
      <c r="I15">
        <f t="shared" si="0"/>
        <v>26</v>
      </c>
      <c r="J15">
        <f t="shared" si="0"/>
        <v>21</v>
      </c>
      <c r="K15" s="19">
        <f t="shared" si="0"/>
        <v>23</v>
      </c>
      <c r="L15">
        <f t="shared" si="2"/>
        <v>23.5</v>
      </c>
      <c r="N15" t="s">
        <v>42</v>
      </c>
      <c r="R15" t="s">
        <v>19</v>
      </c>
      <c r="S15">
        <v>0.05</v>
      </c>
      <c r="V15">
        <f t="shared" si="4"/>
        <v>11</v>
      </c>
      <c r="W15" s="18">
        <f t="shared" si="4"/>
        <v>14</v>
      </c>
      <c r="X15">
        <f t="shared" si="4"/>
        <v>25</v>
      </c>
      <c r="Y15">
        <f t="shared" si="4"/>
        <v>18</v>
      </c>
      <c r="Z15" s="19">
        <f t="shared" si="4"/>
        <v>21</v>
      </c>
      <c r="AA15" s="21">
        <f t="shared" si="5"/>
        <v>3.25</v>
      </c>
      <c r="AE15" s="5" t="str">
        <f>AE5</f>
        <v>2 weeks</v>
      </c>
      <c r="AF15" s="5" t="str">
        <f>AE6</f>
        <v>3 weeks</v>
      </c>
      <c r="AG15" s="5">
        <f>ABS(AF5-AF6)</f>
        <v>2.8000000000000007</v>
      </c>
      <c r="AH15" s="5" t="e">
        <f t="shared" ca="1" si="6"/>
        <v>#NAME?</v>
      </c>
      <c r="AI15" s="5" t="e">
        <f t="shared" ca="1" si="7"/>
        <v>#NAME?</v>
      </c>
      <c r="AJ15" s="5" t="e">
        <f t="shared" ca="1" si="8"/>
        <v>#NAME?</v>
      </c>
      <c r="AK15" s="5" t="e">
        <f ca="1">QDIST(AH15,COUNT(AF$3:AF$6),AH$7)</f>
        <v>#NAME?</v>
      </c>
      <c r="AL15" s="5" t="e">
        <f t="shared" ca="1" si="9"/>
        <v>#NAME?</v>
      </c>
      <c r="AN15" s="5" t="str">
        <f>AN5</f>
        <v>2 weeks</v>
      </c>
      <c r="AO15" s="5" t="str">
        <f>AN6</f>
        <v>3 weeks</v>
      </c>
      <c r="AP15" s="5">
        <f>ABS(AO5-AO6)</f>
        <v>2.8000000000000007</v>
      </c>
      <c r="AQ15" s="5" t="e">
        <f t="array" aca="1" ref="AQ15" ca="1">STDERR(D4:D18-E4:E18)</f>
        <v>#NAME?</v>
      </c>
      <c r="AR15" s="5" t="e">
        <f t="shared" ca="1" si="10"/>
        <v>#NAME?</v>
      </c>
      <c r="AS15" s="5" t="e">
        <f t="shared" ca="1" si="11"/>
        <v>#NAME?</v>
      </c>
      <c r="AT15" s="5" t="e">
        <f t="shared" ca="1" si="12"/>
        <v>#NAME?</v>
      </c>
      <c r="AU15" s="5" t="e">
        <f ca="1">QDIST(AR15,COUNT(AO$3:AO$6),AP$7)</f>
        <v>#NAME?</v>
      </c>
      <c r="AV15" s="5" t="e">
        <f t="shared" ca="1" si="13"/>
        <v>#NAME?</v>
      </c>
      <c r="AW15" s="5" t="e">
        <f t="shared" ca="1" si="14"/>
        <v>#NAME?</v>
      </c>
    </row>
    <row r="16" spans="1:54" ht="15" thickTop="1" x14ac:dyDescent="0.35">
      <c r="A16" s="3">
        <f t="shared" si="3"/>
        <v>13</v>
      </c>
      <c r="B16" s="16">
        <v>9</v>
      </c>
      <c r="C16" s="3">
        <v>12</v>
      </c>
      <c r="D16" s="3">
        <v>20</v>
      </c>
      <c r="E16" s="17">
        <v>23</v>
      </c>
      <c r="G16">
        <f t="shared" si="1"/>
        <v>13</v>
      </c>
      <c r="H16" s="18">
        <f t="shared" si="0"/>
        <v>9</v>
      </c>
      <c r="I16">
        <f t="shared" si="0"/>
        <v>12</v>
      </c>
      <c r="J16">
        <f t="shared" si="0"/>
        <v>20</v>
      </c>
      <c r="K16" s="19">
        <f t="shared" si="0"/>
        <v>23</v>
      </c>
      <c r="L16">
        <f t="shared" si="2"/>
        <v>16</v>
      </c>
      <c r="N16" s="2" t="s">
        <v>23</v>
      </c>
      <c r="O16" s="2" t="s">
        <v>24</v>
      </c>
      <c r="P16" s="2" t="s">
        <v>9</v>
      </c>
      <c r="Q16" s="2" t="s">
        <v>25</v>
      </c>
      <c r="R16" s="2" t="s">
        <v>26</v>
      </c>
      <c r="S16" s="2" t="s">
        <v>27</v>
      </c>
      <c r="T16" s="2" t="s">
        <v>28</v>
      </c>
      <c r="V16">
        <f t="shared" si="4"/>
        <v>12</v>
      </c>
      <c r="W16" s="18">
        <f t="shared" si="4"/>
        <v>24</v>
      </c>
      <c r="X16">
        <f t="shared" si="4"/>
        <v>26</v>
      </c>
      <c r="Y16">
        <f t="shared" si="4"/>
        <v>21</v>
      </c>
      <c r="Z16" s="19">
        <f t="shared" si="4"/>
        <v>23</v>
      </c>
      <c r="AA16" s="21">
        <f t="shared" si="5"/>
        <v>-0.75</v>
      </c>
    </row>
    <row r="17" spans="1:30" x14ac:dyDescent="0.35">
      <c r="A17" s="3">
        <f t="shared" si="3"/>
        <v>14</v>
      </c>
      <c r="B17" s="16">
        <v>3</v>
      </c>
      <c r="C17" s="3">
        <v>9</v>
      </c>
      <c r="D17" s="3">
        <v>13</v>
      </c>
      <c r="E17" s="17">
        <v>16</v>
      </c>
      <c r="G17">
        <f t="shared" si="1"/>
        <v>14</v>
      </c>
      <c r="H17" s="18">
        <f t="shared" si="0"/>
        <v>3</v>
      </c>
      <c r="I17">
        <f t="shared" si="0"/>
        <v>9</v>
      </c>
      <c r="J17">
        <f t="shared" si="0"/>
        <v>13</v>
      </c>
      <c r="K17" s="19">
        <f t="shared" si="0"/>
        <v>16</v>
      </c>
      <c r="L17">
        <f t="shared" si="2"/>
        <v>10.25</v>
      </c>
      <c r="N17" t="s">
        <v>32</v>
      </c>
      <c r="O17">
        <f>O6</f>
        <v>833.25000000000023</v>
      </c>
      <c r="P17" t="e">
        <f ca="1">P6*H23</f>
        <v>#NAME?</v>
      </c>
      <c r="Q17" t="e">
        <f ca="1">O17/P17</f>
        <v>#NAME?</v>
      </c>
      <c r="R17" t="e">
        <f ca="1">Q17/Q18</f>
        <v>#NAME?</v>
      </c>
      <c r="S17" t="e">
        <f ca="1">F_DIST_RT(R17,P17,P18)</f>
        <v>#NAME?</v>
      </c>
      <c r="T17">
        <f>O17/(O17+O18)</f>
        <v>0.67537993920972661</v>
      </c>
      <c r="V17">
        <f t="shared" si="4"/>
        <v>13</v>
      </c>
      <c r="W17" s="18">
        <f t="shared" si="4"/>
        <v>9</v>
      </c>
      <c r="X17">
        <f t="shared" si="4"/>
        <v>12</v>
      </c>
      <c r="Y17">
        <f t="shared" si="4"/>
        <v>20</v>
      </c>
      <c r="Z17" s="19">
        <f t="shared" si="4"/>
        <v>23</v>
      </c>
      <c r="AA17" s="21">
        <f t="shared" si="5"/>
        <v>10.5</v>
      </c>
    </row>
    <row r="18" spans="1:30" x14ac:dyDescent="0.35">
      <c r="A18" s="3">
        <f t="shared" si="3"/>
        <v>15</v>
      </c>
      <c r="B18" s="22">
        <v>2</v>
      </c>
      <c r="C18" s="23">
        <v>8</v>
      </c>
      <c r="D18" s="23">
        <v>6</v>
      </c>
      <c r="E18" s="24">
        <v>10</v>
      </c>
      <c r="G18">
        <f t="shared" si="1"/>
        <v>15</v>
      </c>
      <c r="H18" s="25">
        <f t="shared" si="0"/>
        <v>2</v>
      </c>
      <c r="I18" s="26">
        <f t="shared" si="0"/>
        <v>8</v>
      </c>
      <c r="J18" s="26">
        <f t="shared" si="0"/>
        <v>6</v>
      </c>
      <c r="K18" s="27">
        <f t="shared" si="0"/>
        <v>10</v>
      </c>
      <c r="L18">
        <f t="shared" si="2"/>
        <v>6.5</v>
      </c>
      <c r="N18" t="s">
        <v>33</v>
      </c>
      <c r="O18">
        <f>O7</f>
        <v>400.49999999999977</v>
      </c>
      <c r="P18" t="e">
        <f ca="1">P7*H23</f>
        <v>#NAME?</v>
      </c>
      <c r="Q18" t="e">
        <f ca="1">O18/P18</f>
        <v>#NAME?</v>
      </c>
      <c r="V18">
        <f t="shared" si="4"/>
        <v>14</v>
      </c>
      <c r="W18" s="18">
        <f t="shared" si="4"/>
        <v>3</v>
      </c>
      <c r="X18">
        <f t="shared" si="4"/>
        <v>9</v>
      </c>
      <c r="Y18">
        <f t="shared" si="4"/>
        <v>13</v>
      </c>
      <c r="Z18" s="19">
        <f t="shared" si="4"/>
        <v>16</v>
      </c>
      <c r="AA18" s="21">
        <f t="shared" si="5"/>
        <v>9</v>
      </c>
    </row>
    <row r="19" spans="1:30" x14ac:dyDescent="0.35">
      <c r="G19" t="s">
        <v>17</v>
      </c>
      <c r="H19">
        <f>AVERAGE(H4:H18)</f>
        <v>12.533333333333333</v>
      </c>
      <c r="I19">
        <f>AVERAGE(I4:I18)</f>
        <v>18.333333333333332</v>
      </c>
      <c r="J19">
        <f>AVERAGE(J4:J18)</f>
        <v>19.933333333333334</v>
      </c>
      <c r="K19">
        <f>AVERAGE(K4:K18)</f>
        <v>22.733333333333334</v>
      </c>
      <c r="L19">
        <f>AVERAGE(L4:L18)</f>
        <v>18.383333333333333</v>
      </c>
      <c r="N19" s="4"/>
      <c r="O19" s="4"/>
      <c r="P19" s="4"/>
      <c r="Q19" s="4"/>
      <c r="R19" s="4"/>
      <c r="S19" s="4"/>
      <c r="T19" s="4"/>
      <c r="V19">
        <f t="shared" si="4"/>
        <v>15</v>
      </c>
      <c r="W19" s="25">
        <f t="shared" si="4"/>
        <v>2</v>
      </c>
      <c r="X19" s="26">
        <f t="shared" si="4"/>
        <v>8</v>
      </c>
      <c r="Y19" s="26">
        <f t="shared" si="4"/>
        <v>6</v>
      </c>
      <c r="Z19" s="27">
        <f t="shared" si="4"/>
        <v>10</v>
      </c>
      <c r="AA19" s="28">
        <f t="shared" si="5"/>
        <v>5.5</v>
      </c>
    </row>
    <row r="20" spans="1:30" x14ac:dyDescent="0.35">
      <c r="G20" t="s">
        <v>43</v>
      </c>
      <c r="H20">
        <f>VAR(H4:H18)</f>
        <v>55.838095238095221</v>
      </c>
      <c r="I20">
        <f>VAR(I4:I18)</f>
        <v>35.523809523809504</v>
      </c>
      <c r="J20">
        <f>VAR(J4:J18)</f>
        <v>41.352380952380955</v>
      </c>
      <c r="K20">
        <f>VAR(K4:K18)</f>
        <v>34.352380952380955</v>
      </c>
      <c r="L20">
        <f>VAR(L4:L18)</f>
        <v>34.614880952380972</v>
      </c>
      <c r="Z20" t="s">
        <v>7</v>
      </c>
      <c r="AA20" s="20">
        <f>AVERAGE(AA5:AA19)</f>
        <v>6.9</v>
      </c>
    </row>
    <row r="21" spans="1:30" x14ac:dyDescent="0.35">
      <c r="Z21" t="s">
        <v>44</v>
      </c>
      <c r="AA21" s="21">
        <f>STDEV(AA5:AA19)</f>
        <v>3.9140315350215125</v>
      </c>
    </row>
    <row r="22" spans="1:30" x14ac:dyDescent="0.35">
      <c r="G22" t="s">
        <v>45</v>
      </c>
      <c r="H22" s="20" t="e">
        <f ca="1">GGEpsilon(H4:K18)</f>
        <v>#NAME?</v>
      </c>
      <c r="Z22" t="s">
        <v>8</v>
      </c>
      <c r="AA22" s="28">
        <f>AA21/SQRT(COUNTA(AA5:AA19))</f>
        <v>1.0105985967779312</v>
      </c>
    </row>
    <row r="23" spans="1:30" x14ac:dyDescent="0.35">
      <c r="G23" t="s">
        <v>46</v>
      </c>
      <c r="H23" s="28" t="e">
        <f ca="1">HFEpsilon(H4:K18)</f>
        <v>#NAME?</v>
      </c>
    </row>
    <row r="24" spans="1:30" ht="15" thickBot="1" x14ac:dyDescent="0.4">
      <c r="V24" t="s">
        <v>47</v>
      </c>
      <c r="Y24" t="s">
        <v>19</v>
      </c>
      <c r="Z24">
        <v>1.6666666666666666E-2</v>
      </c>
    </row>
    <row r="25" spans="1:30" ht="15" thickTop="1" x14ac:dyDescent="0.35">
      <c r="V25" s="2" t="s">
        <v>7</v>
      </c>
      <c r="W25" s="2" t="s">
        <v>8</v>
      </c>
      <c r="X25" s="2" t="s">
        <v>48</v>
      </c>
      <c r="Y25" s="2" t="s">
        <v>9</v>
      </c>
      <c r="Z25" s="2" t="s">
        <v>22</v>
      </c>
      <c r="AA25" s="2" t="s">
        <v>49</v>
      </c>
      <c r="AB25" s="2" t="s">
        <v>50</v>
      </c>
      <c r="AC25" s="2" t="s">
        <v>51</v>
      </c>
    </row>
    <row r="26" spans="1:30" x14ac:dyDescent="0.35">
      <c r="V26" s="29">
        <f>AA20</f>
        <v>6.9</v>
      </c>
      <c r="W26" s="29">
        <f>AA22</f>
        <v>1.0105985967779312</v>
      </c>
      <c r="X26" s="29">
        <f>V26/W26</f>
        <v>6.8276366323870974</v>
      </c>
      <c r="Y26" s="29">
        <f>COUNTA(AA5:AA19)-1</f>
        <v>14</v>
      </c>
      <c r="Z26" s="29">
        <f>TDIST(ABS(X26),Y26,2)</f>
        <v>8.2236539026769085E-6</v>
      </c>
      <c r="AA26" s="30" t="str">
        <f>IF(Z26&lt;Z24,"yes","no")</f>
        <v>yes</v>
      </c>
      <c r="AB26" s="29">
        <f>ABS(AA20)/AA21</f>
        <v>1.7628881980793945</v>
      </c>
      <c r="AC26" s="29">
        <f>SQRT(V26^2/(V26^2+Y26))</f>
        <v>0.87907005503660962</v>
      </c>
      <c r="AD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2024-07-11T07:29:01Z</dcterms:created>
  <dcterms:modified xsi:type="dcterms:W3CDTF">2024-07-11T07:31:38Z</dcterms:modified>
</cp:coreProperties>
</file>