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E8CDA6E1-7653-46D3-A26E-843423BC292C}" xr6:coauthVersionLast="47" xr6:coauthVersionMax="47" xr10:uidLastSave="{AC4A95E4-7058-434A-8587-91299AAC3D1C}"/>
  <bookViews>
    <workbookView xWindow="-110" yWindow="-110" windowWidth="19420" windowHeight="10300" xr2:uid="{1782835F-9415-48E4-943F-1458683B0C45}"/>
  </bookViews>
  <sheets>
    <sheet name="Title" sheetId="7" r:id="rId1"/>
    <sheet name="Class 1" sheetId="1" r:id="rId2"/>
    <sheet name="Power" sheetId="2" r:id="rId3"/>
    <sheet name="Class 2" sheetId="3" r:id="rId4"/>
    <sheet name="Class 3" sheetId="4" r:id="rId5"/>
    <sheet name="Gold" sheetId="5" r:id="rId6"/>
    <sheet name="Test-Retest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6" l="1" a="1"/>
  <c r="M11" i="6" s="1"/>
  <c r="E9" i="6" a="1"/>
  <c r="E9" i="6" s="1"/>
  <c r="R6" i="6"/>
  <c r="P6" i="6"/>
  <c r="R5" i="6"/>
  <c r="P5" i="6"/>
  <c r="R4" i="6"/>
  <c r="P4" i="6"/>
  <c r="E12" i="5"/>
  <c r="D12" i="5"/>
  <c r="E11" i="5"/>
  <c r="D11" i="5"/>
  <c r="D10" i="5"/>
  <c r="D10" i="5" a="1"/>
  <c r="E10" i="5" s="1"/>
  <c r="K56" i="4"/>
  <c r="H56" i="4" a="1"/>
  <c r="I58" i="4" s="1"/>
  <c r="K52" i="4"/>
  <c r="H52" i="4" a="1"/>
  <c r="I54" i="4" s="1"/>
  <c r="I50" i="4"/>
  <c r="I49" i="4"/>
  <c r="I45" i="4"/>
  <c r="K39" i="4"/>
  <c r="K38" i="4"/>
  <c r="K37" i="4"/>
  <c r="K36" i="4"/>
  <c r="K35" i="4"/>
  <c r="K34" i="4"/>
  <c r="K33" i="4"/>
  <c r="K32" i="4"/>
  <c r="K29" i="4"/>
  <c r="AD60" i="3"/>
  <c r="AD59" i="3"/>
  <c r="AD57" i="3"/>
  <c r="AD56" i="3"/>
  <c r="AD55" i="3"/>
  <c r="AD54" i="3"/>
  <c r="AD53" i="3"/>
  <c r="AD52" i="3"/>
  <c r="AD51" i="3"/>
  <c r="AD50" i="3"/>
  <c r="AD49" i="3"/>
  <c r="N43" i="3"/>
  <c r="AD42" i="3"/>
  <c r="AB44" i="3"/>
  <c r="AA44" i="3"/>
  <c r="AB43" i="3"/>
  <c r="AA43" i="3"/>
  <c r="AA42" i="3"/>
  <c r="AA42" i="3" a="1"/>
  <c r="AB42" i="3" s="1"/>
  <c r="N42" i="3"/>
  <c r="N41" i="3"/>
  <c r="N40" i="3"/>
  <c r="N39" i="3"/>
  <c r="AD38" i="3"/>
  <c r="AB40" i="3"/>
  <c r="AA40" i="3"/>
  <c r="AB39" i="3"/>
  <c r="AA39" i="3"/>
  <c r="AA38" i="3" a="1"/>
  <c r="AB38" i="3" s="1"/>
  <c r="N38" i="3"/>
  <c r="N37" i="3"/>
  <c r="AB36" i="3"/>
  <c r="N36" i="3"/>
  <c r="AB35" i="3"/>
  <c r="N35" i="3"/>
  <c r="N34" i="3"/>
  <c r="N33" i="3"/>
  <c r="N32" i="3"/>
  <c r="AD31" i="3"/>
  <c r="I31" i="3"/>
  <c r="AD30" i="3"/>
  <c r="AD29" i="3"/>
  <c r="AD27" i="3"/>
  <c r="AD26" i="3"/>
  <c r="AD22" i="3"/>
  <c r="AD21" i="3"/>
  <c r="AD20" i="3"/>
  <c r="AD19" i="3"/>
  <c r="AD18" i="3"/>
  <c r="AD17" i="3"/>
  <c r="AD16" i="3"/>
  <c r="AF9" i="3" a="1"/>
  <c r="AG11" i="3" s="1"/>
  <c r="D14" i="2"/>
  <c r="C14" i="2"/>
  <c r="B14" i="2"/>
  <c r="G8" i="2"/>
  <c r="K47" i="1"/>
  <c r="H47" i="1" a="1"/>
  <c r="I49" i="1" s="1"/>
  <c r="K43" i="1"/>
  <c r="I45" i="1"/>
  <c r="H45" i="1"/>
  <c r="I44" i="1"/>
  <c r="H43" i="1" a="1"/>
  <c r="H44" i="1" s="1"/>
  <c r="K41" i="1"/>
  <c r="I41" i="1"/>
  <c r="K40" i="1"/>
  <c r="I40" i="1"/>
  <c r="K36" i="1"/>
  <c r="K35" i="1"/>
  <c r="K34" i="1"/>
  <c r="R32" i="1"/>
  <c r="K32" i="1"/>
  <c r="R31" i="1"/>
  <c r="K31" i="1"/>
  <c r="R30" i="1"/>
  <c r="K30" i="1"/>
  <c r="R29" i="1"/>
  <c r="K29" i="1"/>
  <c r="R28" i="1"/>
  <c r="K28" i="1"/>
  <c r="R27" i="1"/>
  <c r="K27" i="1"/>
  <c r="R26" i="1"/>
  <c r="K26" i="1"/>
  <c r="R25" i="1"/>
  <c r="K25" i="1"/>
  <c r="R24" i="1"/>
  <c r="K22" i="1"/>
  <c r="R19" i="1"/>
  <c r="R18" i="1"/>
  <c r="R17" i="1"/>
  <c r="P17" i="1"/>
  <c r="R16" i="1"/>
  <c r="P16" i="1"/>
  <c r="P12" i="1"/>
  <c r="F9" i="6" l="1"/>
  <c r="E10" i="6"/>
  <c r="H56" i="4"/>
  <c r="F10" i="6"/>
  <c r="E11" i="6"/>
  <c r="H47" i="1"/>
  <c r="AF9" i="3"/>
  <c r="I47" i="1"/>
  <c r="H52" i="4"/>
  <c r="H58" i="4"/>
  <c r="L9" i="6"/>
  <c r="AF10" i="3"/>
  <c r="H53" i="4"/>
  <c r="H49" i="1"/>
  <c r="AF11" i="3"/>
  <c r="I53" i="4"/>
  <c r="M10" i="6"/>
  <c r="L11" i="6"/>
  <c r="I56" i="4"/>
  <c r="H57" i="4"/>
  <c r="F11" i="6"/>
  <c r="I57" i="4"/>
  <c r="AG9" i="3"/>
  <c r="H48" i="1"/>
  <c r="I52" i="4"/>
  <c r="M9" i="6"/>
  <c r="I48" i="1"/>
  <c r="AG10" i="3"/>
  <c r="L10" i="6"/>
  <c r="H43" i="1"/>
  <c r="I43" i="1"/>
  <c r="AA38" i="3"/>
  <c r="H54" i="4"/>
  <c r="H8" i="6" l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H5" i="6"/>
  <c r="H6" i="6" s="1"/>
  <c r="H7" i="6" s="1"/>
  <c r="A5" i="6"/>
  <c r="I41" i="4"/>
  <c r="U39" i="4"/>
  <c r="T39" i="4"/>
  <c r="S39" i="4"/>
  <c r="R39" i="4"/>
  <c r="Q39" i="4"/>
  <c r="U38" i="4"/>
  <c r="T38" i="4"/>
  <c r="S38" i="4"/>
  <c r="R38" i="4"/>
  <c r="Q38" i="4"/>
  <c r="U37" i="4"/>
  <c r="T37" i="4"/>
  <c r="S37" i="4"/>
  <c r="R37" i="4"/>
  <c r="Q37" i="4"/>
  <c r="U36" i="4"/>
  <c r="T36" i="4"/>
  <c r="S36" i="4"/>
  <c r="R36" i="4"/>
  <c r="Q36" i="4"/>
  <c r="U35" i="4"/>
  <c r="T35" i="4"/>
  <c r="S35" i="4"/>
  <c r="R35" i="4"/>
  <c r="Q35" i="4"/>
  <c r="I35" i="4"/>
  <c r="U34" i="4"/>
  <c r="T34" i="4"/>
  <c r="S34" i="4"/>
  <c r="R34" i="4"/>
  <c r="Q34" i="4"/>
  <c r="I34" i="4"/>
  <c r="U33" i="4"/>
  <c r="T33" i="4"/>
  <c r="S33" i="4"/>
  <c r="R33" i="4"/>
  <c r="Q33" i="4"/>
  <c r="I33" i="4"/>
  <c r="I36" i="4" s="1"/>
  <c r="U32" i="4"/>
  <c r="T32" i="4"/>
  <c r="S32" i="4"/>
  <c r="R32" i="4"/>
  <c r="Q32" i="4"/>
  <c r="I32" i="4"/>
  <c r="U31" i="4"/>
  <c r="T31" i="4"/>
  <c r="S31" i="4"/>
  <c r="R31" i="4"/>
  <c r="Q31" i="4"/>
  <c r="P31" i="4"/>
  <c r="T30" i="4"/>
  <c r="S30" i="4"/>
  <c r="R30" i="4"/>
  <c r="Q30" i="4"/>
  <c r="I29" i="4"/>
  <c r="U27" i="4"/>
  <c r="T27" i="4"/>
  <c r="S27" i="4"/>
  <c r="R27" i="4"/>
  <c r="Q27" i="4"/>
  <c r="U26" i="4"/>
  <c r="T26" i="4"/>
  <c r="S26" i="4"/>
  <c r="R26" i="4"/>
  <c r="Q26" i="4"/>
  <c r="U25" i="4"/>
  <c r="T25" i="4"/>
  <c r="S25" i="4"/>
  <c r="R25" i="4"/>
  <c r="Q25" i="4"/>
  <c r="U24" i="4"/>
  <c r="T24" i="4"/>
  <c r="S24" i="4"/>
  <c r="R24" i="4"/>
  <c r="Q24" i="4"/>
  <c r="U23" i="4"/>
  <c r="T23" i="4"/>
  <c r="S23" i="4"/>
  <c r="R23" i="4"/>
  <c r="Q23" i="4"/>
  <c r="U22" i="4"/>
  <c r="T22" i="4"/>
  <c r="S22" i="4"/>
  <c r="R22" i="4"/>
  <c r="Q22" i="4"/>
  <c r="U21" i="4"/>
  <c r="T21" i="4"/>
  <c r="S21" i="4"/>
  <c r="R21" i="4"/>
  <c r="Q21" i="4"/>
  <c r="U20" i="4"/>
  <c r="T20" i="4"/>
  <c r="S20" i="4"/>
  <c r="R20" i="4"/>
  <c r="Q20" i="4"/>
  <c r="U19" i="4"/>
  <c r="Y7" i="4" s="1"/>
  <c r="AB16" i="4" s="1"/>
  <c r="T19" i="4"/>
  <c r="S19" i="4"/>
  <c r="R19" i="4"/>
  <c r="Q19" i="4"/>
  <c r="P19" i="4"/>
  <c r="T18" i="4"/>
  <c r="S18" i="4"/>
  <c r="R18" i="4"/>
  <c r="Q18" i="4"/>
  <c r="U15" i="4"/>
  <c r="Y11" i="4" s="1"/>
  <c r="T15" i="4"/>
  <c r="S15" i="4"/>
  <c r="R15" i="4"/>
  <c r="Q15" i="4"/>
  <c r="U14" i="4"/>
  <c r="T14" i="4"/>
  <c r="S14" i="4"/>
  <c r="R14" i="4"/>
  <c r="Q14" i="4"/>
  <c r="U13" i="4"/>
  <c r="T13" i="4"/>
  <c r="S13" i="4"/>
  <c r="R13" i="4"/>
  <c r="Q13" i="4"/>
  <c r="U12" i="4"/>
  <c r="T12" i="4"/>
  <c r="S12" i="4"/>
  <c r="R12" i="4"/>
  <c r="Q12" i="4"/>
  <c r="Z11" i="4"/>
  <c r="U11" i="4"/>
  <c r="T11" i="4"/>
  <c r="S11" i="4"/>
  <c r="R11" i="4"/>
  <c r="Q11" i="4"/>
  <c r="U10" i="4"/>
  <c r="T10" i="4"/>
  <c r="S10" i="4"/>
  <c r="R10" i="4"/>
  <c r="Q10" i="4"/>
  <c r="U9" i="4"/>
  <c r="T9" i="4"/>
  <c r="S9" i="4"/>
  <c r="R9" i="4"/>
  <c r="Q9" i="4"/>
  <c r="U8" i="4"/>
  <c r="T8" i="4"/>
  <c r="S8" i="4"/>
  <c r="R8" i="4"/>
  <c r="Q8" i="4"/>
  <c r="U7" i="4"/>
  <c r="T7" i="4"/>
  <c r="S7" i="4"/>
  <c r="R7" i="4"/>
  <c r="Q7" i="4"/>
  <c r="P7" i="4"/>
  <c r="T6" i="4"/>
  <c r="S6" i="4"/>
  <c r="R6" i="4"/>
  <c r="Q6" i="4"/>
  <c r="A6" i="4"/>
  <c r="U39" i="3"/>
  <c r="Z11" i="3" s="1"/>
  <c r="X11" i="3" s="1"/>
  <c r="X9" i="3" s="1"/>
  <c r="T39" i="3"/>
  <c r="S39" i="3"/>
  <c r="R39" i="3"/>
  <c r="Q39" i="3"/>
  <c r="U38" i="3"/>
  <c r="T38" i="3"/>
  <c r="S38" i="3"/>
  <c r="R38" i="3"/>
  <c r="Q38" i="3"/>
  <c r="U37" i="3"/>
  <c r="T37" i="3"/>
  <c r="S37" i="3"/>
  <c r="R37" i="3"/>
  <c r="Q37" i="3"/>
  <c r="U36" i="3"/>
  <c r="T36" i="3"/>
  <c r="S36" i="3"/>
  <c r="R36" i="3"/>
  <c r="Q36" i="3"/>
  <c r="U35" i="3"/>
  <c r="T35" i="3"/>
  <c r="S35" i="3"/>
  <c r="R35" i="3"/>
  <c r="Q35" i="3"/>
  <c r="L35" i="3"/>
  <c r="U34" i="3"/>
  <c r="T34" i="3"/>
  <c r="S34" i="3"/>
  <c r="R34" i="3"/>
  <c r="Q34" i="3"/>
  <c r="U33" i="3"/>
  <c r="T33" i="3"/>
  <c r="S33" i="3"/>
  <c r="R33" i="3"/>
  <c r="Q33" i="3"/>
  <c r="L33" i="3"/>
  <c r="L36" i="3" s="1"/>
  <c r="U32" i="3"/>
  <c r="T32" i="3"/>
  <c r="S32" i="3"/>
  <c r="R32" i="3"/>
  <c r="Q32" i="3"/>
  <c r="P32" i="3"/>
  <c r="L32" i="3"/>
  <c r="L34" i="3" s="1"/>
  <c r="U31" i="3"/>
  <c r="T31" i="3"/>
  <c r="S31" i="3"/>
  <c r="R31" i="3"/>
  <c r="Q31" i="3"/>
  <c r="P31" i="3"/>
  <c r="T30" i="3"/>
  <c r="S30" i="3"/>
  <c r="R30" i="3"/>
  <c r="Q30" i="3"/>
  <c r="I29" i="3"/>
  <c r="U27" i="3"/>
  <c r="T27" i="3"/>
  <c r="S27" i="3"/>
  <c r="R27" i="3"/>
  <c r="Q27" i="3"/>
  <c r="Y8" i="3" s="1"/>
  <c r="U26" i="3"/>
  <c r="T26" i="3"/>
  <c r="S26" i="3"/>
  <c r="R26" i="3"/>
  <c r="Q26" i="3"/>
  <c r="U25" i="3"/>
  <c r="T25" i="3"/>
  <c r="S25" i="3"/>
  <c r="R25" i="3"/>
  <c r="Q25" i="3"/>
  <c r="U24" i="3"/>
  <c r="T24" i="3"/>
  <c r="S24" i="3"/>
  <c r="R24" i="3"/>
  <c r="Q24" i="3"/>
  <c r="U23" i="3"/>
  <c r="T23" i="3"/>
  <c r="S23" i="3"/>
  <c r="R23" i="3"/>
  <c r="Q23" i="3"/>
  <c r="U22" i="3"/>
  <c r="T22" i="3"/>
  <c r="S22" i="3"/>
  <c r="R22" i="3"/>
  <c r="Q22" i="3"/>
  <c r="U21" i="3"/>
  <c r="T21" i="3"/>
  <c r="S21" i="3"/>
  <c r="R21" i="3"/>
  <c r="Q21" i="3"/>
  <c r="U20" i="3"/>
  <c r="T20" i="3"/>
  <c r="S20" i="3"/>
  <c r="R20" i="3"/>
  <c r="Q20" i="3"/>
  <c r="U19" i="3"/>
  <c r="Y7" i="3" s="1"/>
  <c r="AB16" i="3" s="1"/>
  <c r="T19" i="3"/>
  <c r="S19" i="3"/>
  <c r="R19" i="3"/>
  <c r="Q19" i="3"/>
  <c r="P19" i="3"/>
  <c r="T18" i="3"/>
  <c r="S18" i="3"/>
  <c r="R18" i="3"/>
  <c r="Q18" i="3"/>
  <c r="U15" i="3"/>
  <c r="T15" i="3"/>
  <c r="S15" i="3"/>
  <c r="R15" i="3"/>
  <c r="Q15" i="3"/>
  <c r="X8" i="3" s="1"/>
  <c r="Z8" i="3" s="1"/>
  <c r="U14" i="3"/>
  <c r="T14" i="3"/>
  <c r="S14" i="3"/>
  <c r="R14" i="3"/>
  <c r="Q14" i="3"/>
  <c r="U13" i="3"/>
  <c r="T13" i="3"/>
  <c r="S13" i="3"/>
  <c r="R13" i="3"/>
  <c r="Q13" i="3"/>
  <c r="U12" i="3"/>
  <c r="T12" i="3"/>
  <c r="S12" i="3"/>
  <c r="R12" i="3"/>
  <c r="Q12" i="3"/>
  <c r="Y11" i="3"/>
  <c r="U11" i="3"/>
  <c r="T11" i="3"/>
  <c r="S11" i="3"/>
  <c r="R11" i="3"/>
  <c r="Q11" i="3"/>
  <c r="U10" i="3"/>
  <c r="T10" i="3"/>
  <c r="S10" i="3"/>
  <c r="R10" i="3"/>
  <c r="Q10" i="3"/>
  <c r="U9" i="3"/>
  <c r="T9" i="3"/>
  <c r="S9" i="3"/>
  <c r="R9" i="3"/>
  <c r="Q9" i="3"/>
  <c r="U8" i="3"/>
  <c r="T8" i="3"/>
  <c r="S8" i="3"/>
  <c r="R8" i="3"/>
  <c r="Q8" i="3"/>
  <c r="U7" i="3"/>
  <c r="X7" i="3" s="1"/>
  <c r="T7" i="3"/>
  <c r="S7" i="3"/>
  <c r="R7" i="3"/>
  <c r="Q7" i="3"/>
  <c r="P7" i="3"/>
  <c r="T6" i="3"/>
  <c r="S6" i="3"/>
  <c r="R6" i="3"/>
  <c r="Q6" i="3"/>
  <c r="A6" i="3"/>
  <c r="B11" i="2"/>
  <c r="D10" i="2"/>
  <c r="C10" i="2"/>
  <c r="B10" i="2"/>
  <c r="B12" i="2" s="1"/>
  <c r="D6" i="2"/>
  <c r="D11" i="2" s="1"/>
  <c r="C6" i="2"/>
  <c r="C11" i="2" s="1"/>
  <c r="B6" i="2"/>
  <c r="D5" i="2"/>
  <c r="C5" i="2"/>
  <c r="B5" i="2"/>
  <c r="I34" i="1"/>
  <c r="I28" i="1"/>
  <c r="I27" i="1"/>
  <c r="I26" i="1"/>
  <c r="I25" i="1"/>
  <c r="P24" i="1"/>
  <c r="I22" i="1"/>
  <c r="AA18" i="1"/>
  <c r="Z18" i="1"/>
  <c r="Y18" i="1"/>
  <c r="P18" i="1"/>
  <c r="AC12" i="1"/>
  <c r="AB12" i="1"/>
  <c r="AA12" i="1"/>
  <c r="Z12" i="1"/>
  <c r="Y12" i="1"/>
  <c r="AC11" i="1"/>
  <c r="AB11" i="1"/>
  <c r="AA11" i="1"/>
  <c r="Z11" i="1"/>
  <c r="Y11" i="1"/>
  <c r="AC10" i="1"/>
  <c r="AB10" i="1"/>
  <c r="AA10" i="1"/>
  <c r="Z10" i="1"/>
  <c r="Y10" i="1"/>
  <c r="AC9" i="1"/>
  <c r="AB9" i="1"/>
  <c r="AA9" i="1"/>
  <c r="Z9" i="1"/>
  <c r="Y9" i="1"/>
  <c r="AC8" i="1"/>
  <c r="AB8" i="1"/>
  <c r="AA8" i="1"/>
  <c r="Z8" i="1"/>
  <c r="Y8" i="1"/>
  <c r="A8" i="1"/>
  <c r="A9" i="1" s="1"/>
  <c r="A10" i="1" s="1"/>
  <c r="A11" i="1" s="1"/>
  <c r="A12" i="1" s="1"/>
  <c r="AC7" i="1"/>
  <c r="AB7" i="1"/>
  <c r="AA7" i="1"/>
  <c r="Z7" i="1"/>
  <c r="Y7" i="1"/>
  <c r="A7" i="1"/>
  <c r="AC6" i="1"/>
  <c r="AB6" i="1"/>
  <c r="AA6" i="1"/>
  <c r="Z6" i="1"/>
  <c r="Y6" i="1"/>
  <c r="A6" i="1"/>
  <c r="AC5" i="1"/>
  <c r="AB5" i="1"/>
  <c r="AA5" i="1"/>
  <c r="Z5" i="1"/>
  <c r="Y5" i="1"/>
  <c r="X5" i="1"/>
  <c r="P4" i="1"/>
  <c r="X6" i="1" s="1"/>
  <c r="P28" i="1"/>
  <c r="P19" i="1" l="1"/>
  <c r="I42" i="4"/>
  <c r="I38" i="4"/>
  <c r="X11" i="4"/>
  <c r="X9" i="4" s="1"/>
  <c r="Y8" i="4"/>
  <c r="X8" i="4"/>
  <c r="Z8" i="4" s="1"/>
  <c r="C12" i="2"/>
  <c r="Z7" i="3"/>
  <c r="I29" i="1"/>
  <c r="I30" i="1"/>
  <c r="AB17" i="3"/>
  <c r="Y17" i="1"/>
  <c r="Y9" i="3"/>
  <c r="Z9" i="3" s="1"/>
  <c r="Y16" i="1"/>
  <c r="P20" i="3"/>
  <c r="P8" i="3"/>
  <c r="A7" i="3"/>
  <c r="L37" i="3"/>
  <c r="L38" i="3" s="1"/>
  <c r="L40" i="3" s="1"/>
  <c r="L43" i="3" s="1"/>
  <c r="D12" i="2"/>
  <c r="I37" i="4"/>
  <c r="X7" i="4"/>
  <c r="Z7" i="4" s="1"/>
  <c r="Q4" i="1"/>
  <c r="P8" i="4"/>
  <c r="P20" i="4"/>
  <c r="A7" i="4"/>
  <c r="P32" i="4"/>
  <c r="Y18" i="3" l="1"/>
  <c r="Y17" i="3"/>
  <c r="AA8" i="3"/>
  <c r="X7" i="1"/>
  <c r="R4" i="1"/>
  <c r="Y9" i="4"/>
  <c r="AB17" i="4"/>
  <c r="AB20" i="3"/>
  <c r="L39" i="3"/>
  <c r="L42" i="3" s="1"/>
  <c r="P33" i="3"/>
  <c r="P9" i="3"/>
  <c r="A8" i="3"/>
  <c r="P21" i="3"/>
  <c r="I36" i="1"/>
  <c r="I32" i="1"/>
  <c r="A8" i="4"/>
  <c r="P9" i="4"/>
  <c r="P33" i="4"/>
  <c r="P21" i="4"/>
  <c r="I35" i="1"/>
  <c r="I31" i="1"/>
  <c r="I43" i="4"/>
  <c r="I39" i="4"/>
  <c r="AD16" i="1"/>
  <c r="Z9" i="4"/>
  <c r="Y17" i="4" s="1"/>
  <c r="AB29" i="3"/>
  <c r="Y16" i="3"/>
  <c r="Y13" i="3"/>
  <c r="AB18" i="3" s="1"/>
  <c r="AA7" i="3"/>
  <c r="AB7" i="3" s="1"/>
  <c r="AC7" i="3" s="1"/>
  <c r="AA8" i="4" l="1"/>
  <c r="AB20" i="4"/>
  <c r="Y16" i="4"/>
  <c r="AA7" i="4"/>
  <c r="AB7" i="4" s="1"/>
  <c r="AC7" i="4" s="1"/>
  <c r="S4" i="1"/>
  <c r="X8" i="1"/>
  <c r="A9" i="3"/>
  <c r="P34" i="3"/>
  <c r="P10" i="3"/>
  <c r="P22" i="3"/>
  <c r="AB8" i="3"/>
  <c r="AC8" i="3" s="1"/>
  <c r="AB19" i="3"/>
  <c r="AB21" i="3" s="1"/>
  <c r="AB22" i="3" s="1"/>
  <c r="Y19" i="3"/>
  <c r="Y20" i="3" s="1"/>
  <c r="Y18" i="4"/>
  <c r="Y13" i="4"/>
  <c r="A9" i="4"/>
  <c r="P34" i="4"/>
  <c r="P10" i="4"/>
  <c r="P22" i="4"/>
  <c r="AB24" i="3" l="1"/>
  <c r="AB27" i="3" s="1"/>
  <c r="AB31" i="3" s="1"/>
  <c r="AB23" i="3"/>
  <c r="AB26" i="3" s="1"/>
  <c r="AB30" i="3" s="1"/>
  <c r="T4" i="1"/>
  <c r="X9" i="1"/>
  <c r="Y19" i="4"/>
  <c r="Y20" i="4"/>
  <c r="AB18" i="4"/>
  <c r="A10" i="4"/>
  <c r="P23" i="4"/>
  <c r="P35" i="4"/>
  <c r="P11" i="4"/>
  <c r="P11" i="3"/>
  <c r="P23" i="3"/>
  <c r="A10" i="3"/>
  <c r="P35" i="3"/>
  <c r="AB8" i="4"/>
  <c r="AC8" i="4" s="1"/>
  <c r="AB19" i="4"/>
  <c r="AB21" i="4" s="1"/>
  <c r="AB22" i="4" s="1"/>
  <c r="AB23" i="4" s="1"/>
  <c r="AB24" i="4" l="1"/>
  <c r="AB27" i="4" s="1"/>
  <c r="AB26" i="4"/>
  <c r="P12" i="4"/>
  <c r="P24" i="4"/>
  <c r="A11" i="4"/>
  <c r="P36" i="4"/>
  <c r="U4" i="1"/>
  <c r="X10" i="1"/>
  <c r="A11" i="3"/>
  <c r="P12" i="3"/>
  <c r="P36" i="3"/>
  <c r="P24" i="3"/>
  <c r="A12" i="3" l="1"/>
  <c r="P25" i="3"/>
  <c r="P37" i="3"/>
  <c r="P13" i="3"/>
  <c r="V4" i="1"/>
  <c r="X12" i="1" s="1"/>
  <c r="X11" i="1"/>
  <c r="P37" i="4"/>
  <c r="P25" i="4"/>
  <c r="P13" i="4"/>
  <c r="A12" i="4"/>
  <c r="P25" i="1"/>
  <c r="P27" i="1" l="1"/>
  <c r="P26" i="1"/>
  <c r="P29" i="1" s="1"/>
  <c r="P31" i="1" s="1"/>
  <c r="P14" i="4"/>
  <c r="P26" i="4"/>
  <c r="P38" i="4"/>
  <c r="Z16" i="1"/>
  <c r="P14" i="3"/>
  <c r="P38" i="3"/>
  <c r="P26" i="3"/>
  <c r="Z17" i="1" l="1"/>
  <c r="AA17" i="1" s="1"/>
  <c r="AA16" i="1"/>
  <c r="AB16" i="1" s="1"/>
  <c r="AC16" i="1" s="1"/>
  <c r="P30" i="1"/>
  <c r="P32" i="1" s="1"/>
  <c r="AD10" i="1" l="1"/>
  <c r="AD9" i="1"/>
  <c r="AD7" i="1"/>
  <c r="AD11" i="1"/>
  <c r="AD5" i="1"/>
  <c r="AE16" i="1"/>
  <c r="AD8" i="1"/>
  <c r="AD12" i="1"/>
  <c r="AD6" i="1"/>
  <c r="AF16" i="1"/>
  <c r="AE8" i="1" l="1"/>
  <c r="AF8" i="1"/>
  <c r="AE6" i="1"/>
  <c r="AF6" i="1"/>
  <c r="AE12" i="1"/>
  <c r="AF12" i="1"/>
  <c r="AF5" i="1"/>
  <c r="AE5" i="1"/>
  <c r="AF11" i="1"/>
  <c r="AE11" i="1"/>
  <c r="AF7" i="1"/>
  <c r="AE7" i="1"/>
  <c r="AF9" i="1"/>
  <c r="AE9" i="1"/>
  <c r="AF10" i="1"/>
  <c r="AE10" i="1"/>
</calcChain>
</file>

<file path=xl/sharedStrings.xml><?xml version="1.0" encoding="utf-8"?>
<sst xmlns="http://schemas.openxmlformats.org/spreadsheetml/2006/main" count="323" uniqueCount="137">
  <si>
    <t>Intraclass Correlation - class 1</t>
  </si>
  <si>
    <t>Anova: Single Factor</t>
  </si>
  <si>
    <t>ANOVA: Single Factor</t>
  </si>
  <si>
    <t>Transpose of the data</t>
  </si>
  <si>
    <t>Judge</t>
  </si>
  <si>
    <t>SUMMARY</t>
  </si>
  <si>
    <t>DESCRIPTION</t>
  </si>
  <si>
    <t>Alpha</t>
  </si>
  <si>
    <t>Wine</t>
  </si>
  <si>
    <t>A</t>
  </si>
  <si>
    <t>B</t>
  </si>
  <si>
    <t>C</t>
  </si>
  <si>
    <t>D</t>
  </si>
  <si>
    <t>Groups</t>
  </si>
  <si>
    <t>Count</t>
  </si>
  <si>
    <t>Sum</t>
  </si>
  <si>
    <t>Average</t>
  </si>
  <si>
    <t>Variance</t>
  </si>
  <si>
    <t>Mean</t>
  </si>
  <si>
    <t>SS</t>
  </si>
  <si>
    <t>Std Err</t>
  </si>
  <si>
    <t>Lower</t>
  </si>
  <si>
    <t>Upper</t>
  </si>
  <si>
    <t>Via Real Statistics formulas</t>
  </si>
  <si>
    <t>ICC</t>
  </si>
  <si>
    <t>=(MSBet(O5:V8)-MSW(O5:V8))/(MSBet(O5:V8)+(COUNTA(O5:O8)-1)*MSW(O5:V8))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</si>
  <si>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</si>
  <si>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</si>
  <si>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</si>
  <si>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</si>
  <si>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</si>
  <si>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</si>
  <si>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</si>
  <si>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</si>
  <si>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</si>
  <si>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Source of Variation</t>
  </si>
  <si>
    <t>P-value</t>
  </si>
  <si>
    <t>F crit</t>
  </si>
  <si>
    <t>MSB</t>
  </si>
  <si>
    <t>Between Groups</t>
  </si>
  <si>
    <t>MSW</t>
  </si>
  <si>
    <t>Within Groups</t>
  </si>
  <si>
    <t>k</t>
  </si>
  <si>
    <t>Total</t>
  </si>
  <si>
    <t>Confidence Interval</t>
  </si>
  <si>
    <t>ICC(1,1)</t>
  </si>
  <si>
    <t>alpha</t>
  </si>
  <si>
    <t>n</t>
  </si>
  <si>
    <t>dfB</t>
  </si>
  <si>
    <t>n-1</t>
  </si>
  <si>
    <t>dfW</t>
  </si>
  <si>
    <t>n(k-1)</t>
  </si>
  <si>
    <t>F-lower</t>
  </si>
  <si>
    <t>F-upper</t>
  </si>
  <si>
    <t>lower</t>
  </si>
  <si>
    <t>upper</t>
  </si>
  <si>
    <t>ICC(1,4)</t>
  </si>
  <si>
    <t>Using Real Statistics functions</t>
  </si>
  <si>
    <t>Power and Sample Size for ICC(1,1)</t>
  </si>
  <si>
    <t>rho0</t>
  </si>
  <si>
    <t>rho1</t>
  </si>
  <si>
    <r>
      <t>1-</t>
    </r>
    <r>
      <rPr>
        <sz val="11"/>
        <color theme="1"/>
        <rFont val="Calibri"/>
        <family val="2"/>
      </rPr>
      <t>β</t>
    </r>
  </si>
  <si>
    <t>c</t>
  </si>
  <si>
    <t>F-crit</t>
  </si>
  <si>
    <t>Intraclass Correlation - class 2</t>
  </si>
  <si>
    <t>Anova data analysis tool</t>
  </si>
  <si>
    <t>Reliability data analysis tool</t>
  </si>
  <si>
    <t>Anova: Two-Factor Without Replication</t>
  </si>
  <si>
    <t>Descriptive Statistics</t>
  </si>
  <si>
    <t>Two Factor Anova</t>
  </si>
  <si>
    <t>Intraclass Correlation</t>
  </si>
  <si>
    <t>COUNT</t>
  </si>
  <si>
    <t>ICC Class</t>
  </si>
  <si>
    <t>p-value</t>
  </si>
  <si>
    <t>sig</t>
  </si>
  <si>
    <t>ICC Type</t>
  </si>
  <si>
    <t>Rows</t>
  </si>
  <si>
    <t>Columns</t>
  </si>
  <si>
    <t>Error</t>
  </si>
  <si>
    <t>MSR-MSE</t>
  </si>
  <si>
    <t>MEAN</t>
  </si>
  <si>
    <t>kMSE</t>
  </si>
  <si>
    <t>k(MSC-MSE)/n</t>
  </si>
  <si>
    <t>u</t>
  </si>
  <si>
    <t>total</t>
  </si>
  <si>
    <t>v</t>
  </si>
  <si>
    <t>w</t>
  </si>
  <si>
    <t>d</t>
  </si>
  <si>
    <t>d'</t>
  </si>
  <si>
    <t>g</t>
  </si>
  <si>
    <t>=F.INV.RT(AB15/2,AB16-1,AB22)</t>
  </si>
  <si>
    <t>h</t>
  </si>
  <si>
    <t>=F.INV.RT(AB15/2,AB22,AB16-1)</t>
  </si>
  <si>
    <t>Interclass correlation</t>
  </si>
  <si>
    <t>VARIANCE</t>
  </si>
  <si>
    <t>ICC(2,4)</t>
  </si>
  <si>
    <t>Real Statistics function</t>
  </si>
  <si>
    <t>Real Statistics functions</t>
  </si>
  <si>
    <t>ICC(2,1)</t>
  </si>
  <si>
    <t>=ICC(B5:E12,2,1)</t>
  </si>
  <si>
    <t>=ICC(B5:E12,2,4)</t>
  </si>
  <si>
    <t>Intraclass Correlation - class 3</t>
  </si>
  <si>
    <t>Real Statistics data analysis tool</t>
  </si>
  <si>
    <t>=I23+1</t>
  </si>
  <si>
    <t>=I24+1</t>
  </si>
  <si>
    <t>=AB16*(1+(AB17-1)*I29)-AB17*I29</t>
  </si>
  <si>
    <t>=AA8</t>
  </si>
  <si>
    <t>=AB17*J24+(AB16*AB17-AB17-AB16)*J25</t>
  </si>
  <si>
    <t>=(AB17-1)*(AB16-1)*(AB17*I29*AB19+AB18)^2/((AB16-1)*(AB17*I29*AB19)^2+AB18^2)</t>
  </si>
  <si>
    <t>=MAX(1,ROUND(AB21,0))</t>
  </si>
  <si>
    <t>=FINV(AB15/2,AB16-1,AB22)</t>
  </si>
  <si>
    <t>=FINV(AB15/2,AB23,AB16-1)</t>
  </si>
  <si>
    <t>=AB16*(J23-AB23*J25)/(AB21+AB23*AB20+AB16*J23)</t>
  </si>
  <si>
    <t>=AB16*(AB24*J23-J25)/(AB20+AB16*AB24*J23)</t>
  </si>
  <si>
    <t>ICC(3,1)</t>
  </si>
  <si>
    <t>dfRow</t>
  </si>
  <si>
    <t>dfE</t>
  </si>
  <si>
    <t>ICC(3,4)</t>
  </si>
  <si>
    <t>=(J23-J25)/J23</t>
  </si>
  <si>
    <t>=1-1/I36</t>
  </si>
  <si>
    <t>=1-1/I37</t>
  </si>
  <si>
    <r>
      <t xml:space="preserve">Cron </t>
    </r>
    <r>
      <rPr>
        <sz val="11"/>
        <color theme="1"/>
        <rFont val="Calibri"/>
        <family val="2"/>
      </rPr>
      <t>α</t>
    </r>
  </si>
  <si>
    <t>=CRONALPHA(B5:E12)</t>
  </si>
  <si>
    <t>=ICC(B5:E12,3,1)</t>
  </si>
  <si>
    <t>=ICC(B5:E12,3,4)</t>
  </si>
  <si>
    <t>ICC(1,1) for Comparison against a gold standard</t>
  </si>
  <si>
    <t>Old</t>
  </si>
  <si>
    <t>New</t>
  </si>
  <si>
    <t>ICC Test/Retest</t>
  </si>
  <si>
    <t>Question</t>
  </si>
  <si>
    <t>Time 1</t>
  </si>
  <si>
    <t>Time 2</t>
  </si>
  <si>
    <t>Subject</t>
  </si>
  <si>
    <t>size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</si>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</sst>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quotePrefix="1"/>
    <xf numFmtId="0" fontId="0" fillId="0" borderId="13" xfId="0" applyBorder="1"/>
    <xf numFmtId="0" fontId="0" fillId="0" borderId="0" xfId="0" applyAlignment="1">
      <alignment horizontal="left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0" borderId="0" xfId="0" applyFont="1"/>
    <xf numFmtId="0" fontId="5" fillId="0" borderId="0" xfId="0" applyFont="1"/>
    <xf numFmtId="0" fontId="5" fillId="0" borderId="17" xfId="0" applyFont="1" applyBorder="1" applyAlignment="1">
      <alignment horizontal="center"/>
    </xf>
    <xf numFmtId="164" fontId="5" fillId="0" borderId="0" xfId="0" applyNumberFormat="1" applyFont="1"/>
    <xf numFmtId="0" fontId="0" fillId="0" borderId="31" xfId="0" applyBorder="1"/>
    <xf numFmtId="164" fontId="5" fillId="0" borderId="9" xfId="0" applyNumberFormat="1" applyFont="1" applyBorder="1"/>
    <xf numFmtId="0" fontId="0" fillId="0" borderId="17" xfId="0" applyBorder="1" applyAlignment="1">
      <alignment horizontal="center"/>
    </xf>
    <xf numFmtId="15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17B0-677E-4B16-A96D-1425E45C1C71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134</v>
      </c>
    </row>
    <row r="2" spans="1:13" x14ac:dyDescent="0.35">
      <c r="A2" t="s">
        <v>70</v>
      </c>
    </row>
    <row r="4" spans="1:13" x14ac:dyDescent="0.35">
      <c r="A4" t="s">
        <v>135</v>
      </c>
      <c r="B4" s="51">
        <v>45499</v>
      </c>
    </row>
    <row r="6" spans="1:13" x14ac:dyDescent="0.35">
      <c r="A6" s="45" t="s">
        <v>136</v>
      </c>
    </row>
    <row r="10" spans="1:13" ht="18.5" x14ac:dyDescent="0.45">
      <c r="M10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8173-9155-4B95-84E2-0CB94F00F298}">
  <sheetPr codeName="Sheet45"/>
  <dimension ref="A1:AF49"/>
  <sheetViews>
    <sheetView workbookViewId="0"/>
  </sheetViews>
  <sheetFormatPr defaultRowHeight="14.5" x14ac:dyDescent="0.35"/>
  <cols>
    <col min="1" max="5" width="7.1796875" customWidth="1"/>
    <col min="7" max="7" width="17.7265625" customWidth="1"/>
    <col min="24" max="24" width="16.81640625" customWidth="1"/>
  </cols>
  <sheetData>
    <row r="1" spans="1:32" x14ac:dyDescent="0.35">
      <c r="A1" s="1" t="s">
        <v>0</v>
      </c>
      <c r="G1" t="s">
        <v>1</v>
      </c>
      <c r="X1" t="s">
        <v>2</v>
      </c>
    </row>
    <row r="2" spans="1:32" x14ac:dyDescent="0.35">
      <c r="O2" t="s">
        <v>3</v>
      </c>
    </row>
    <row r="3" spans="1:32" ht="15" thickBot="1" x14ac:dyDescent="0.4">
      <c r="B3" s="2" t="s">
        <v>4</v>
      </c>
      <c r="C3" s="2"/>
      <c r="D3" s="2"/>
      <c r="E3" s="2"/>
      <c r="G3" t="s">
        <v>5</v>
      </c>
      <c r="X3" t="s">
        <v>6</v>
      </c>
      <c r="AC3" t="s">
        <v>7</v>
      </c>
      <c r="AD3">
        <v>0.05</v>
      </c>
    </row>
    <row r="4" spans="1:32" ht="15" thickTop="1" x14ac:dyDescent="0.3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O4" s="3">
        <v>1</v>
      </c>
      <c r="P4" s="3">
        <f t="shared" ref="P4:V4" si="0">O4+1</f>
        <v>2</v>
      </c>
      <c r="Q4" s="3">
        <f t="shared" si="0"/>
        <v>3</v>
      </c>
      <c r="R4" s="3">
        <f t="shared" si="0"/>
        <v>4</v>
      </c>
      <c r="S4" s="3">
        <f t="shared" si="0"/>
        <v>5</v>
      </c>
      <c r="T4" s="3">
        <f t="shared" si="0"/>
        <v>6</v>
      </c>
      <c r="U4" s="3">
        <f t="shared" si="0"/>
        <v>7</v>
      </c>
      <c r="V4" s="3">
        <f t="shared" si="0"/>
        <v>8</v>
      </c>
      <c r="X4" s="5" t="s">
        <v>13</v>
      </c>
      <c r="Y4" s="5" t="s">
        <v>14</v>
      </c>
      <c r="Z4" s="5" t="s">
        <v>15</v>
      </c>
      <c r="AA4" s="5" t="s">
        <v>18</v>
      </c>
      <c r="AB4" s="5" t="s">
        <v>17</v>
      </c>
      <c r="AC4" s="5" t="s">
        <v>19</v>
      </c>
      <c r="AD4" s="5" t="s">
        <v>20</v>
      </c>
      <c r="AE4" s="5" t="s">
        <v>21</v>
      </c>
      <c r="AF4" s="5" t="s">
        <v>22</v>
      </c>
    </row>
    <row r="5" spans="1:32" x14ac:dyDescent="0.35">
      <c r="A5" s="3">
        <v>1</v>
      </c>
      <c r="B5" s="6">
        <v>1</v>
      </c>
      <c r="C5" s="7">
        <v>2</v>
      </c>
      <c r="D5" s="7">
        <v>0</v>
      </c>
      <c r="E5" s="8">
        <v>1</v>
      </c>
      <c r="G5">
        <v>1</v>
      </c>
      <c r="H5">
        <v>4</v>
      </c>
      <c r="I5">
        <v>4</v>
      </c>
      <c r="J5">
        <v>1</v>
      </c>
      <c r="K5">
        <v>0.66666666666666663</v>
      </c>
      <c r="O5" s="6">
        <v>1</v>
      </c>
      <c r="P5" s="7">
        <v>1</v>
      </c>
      <c r="Q5" s="7">
        <v>3</v>
      </c>
      <c r="R5" s="7">
        <v>6</v>
      </c>
      <c r="S5" s="7">
        <v>6</v>
      </c>
      <c r="T5" s="7">
        <v>7</v>
      </c>
      <c r="U5" s="7">
        <v>8</v>
      </c>
      <c r="V5" s="8">
        <v>9</v>
      </c>
      <c r="X5">
        <f>O4</f>
        <v>1</v>
      </c>
      <c r="Y5">
        <f>COUNT(O5:O8)</f>
        <v>4</v>
      </c>
      <c r="Z5">
        <f>SUM(O5:O8)</f>
        <v>4</v>
      </c>
      <c r="AA5">
        <f>AVERAGE(O5:O8)</f>
        <v>1</v>
      </c>
      <c r="AB5">
        <f>VAR(O5:O8)</f>
        <v>0.66666666666666663</v>
      </c>
      <c r="AC5">
        <f>DEVSQ(O5:O8)</f>
        <v>2</v>
      </c>
      <c r="AD5">
        <f>SQRT(AA17/Y5)</f>
        <v>0.75863089400138017</v>
      </c>
      <c r="AE5">
        <f>AA5-AD5*TINV(AD3,Y5-1)</f>
        <v>-1.4143020856887696</v>
      </c>
      <c r="AF5">
        <f>AA5+AD5*TINV(AD3,Y5-1)</f>
        <v>3.4143020856887696</v>
      </c>
    </row>
    <row r="6" spans="1:32" x14ac:dyDescent="0.35">
      <c r="A6" s="3">
        <f>A5+1</f>
        <v>2</v>
      </c>
      <c r="B6" s="9">
        <v>1</v>
      </c>
      <c r="C6" s="3">
        <v>3</v>
      </c>
      <c r="D6" s="3">
        <v>3</v>
      </c>
      <c r="E6" s="10">
        <v>2</v>
      </c>
      <c r="G6">
        <v>2</v>
      </c>
      <c r="H6">
        <v>4</v>
      </c>
      <c r="I6">
        <v>9</v>
      </c>
      <c r="J6">
        <v>2.25</v>
      </c>
      <c r="K6">
        <v>0.91666666666666663</v>
      </c>
      <c r="O6" s="9">
        <v>2</v>
      </c>
      <c r="P6" s="3">
        <v>3</v>
      </c>
      <c r="Q6" s="3">
        <v>8</v>
      </c>
      <c r="R6" s="3">
        <v>4</v>
      </c>
      <c r="S6" s="3">
        <v>5</v>
      </c>
      <c r="T6" s="3">
        <v>5</v>
      </c>
      <c r="U6" s="3">
        <v>7</v>
      </c>
      <c r="V6" s="10">
        <v>9</v>
      </c>
      <c r="X6">
        <f>P4</f>
        <v>2</v>
      </c>
      <c r="Y6">
        <f>COUNT(P5:P8)</f>
        <v>4</v>
      </c>
      <c r="Z6">
        <f>SUM(P5:P8)</f>
        <v>9</v>
      </c>
      <c r="AA6">
        <f>AVERAGE(P5:P8)</f>
        <v>2.25</v>
      </c>
      <c r="AB6">
        <f>VAR(P5:P8)</f>
        <v>0.91666666666666663</v>
      </c>
      <c r="AC6">
        <f>DEVSQ(P5:P8)</f>
        <v>2.75</v>
      </c>
      <c r="AD6">
        <f>SQRT(AA17/Y6)</f>
        <v>0.75863089400138017</v>
      </c>
      <c r="AE6">
        <f>AA6-AD6*TINV(AD3,Y6-1)</f>
        <v>-0.16430208568876958</v>
      </c>
      <c r="AF6">
        <f>AA6+AD6*TINV(AD3,Y6-1)</f>
        <v>4.6643020856887691</v>
      </c>
    </row>
    <row r="7" spans="1:32" x14ac:dyDescent="0.35">
      <c r="A7" s="3">
        <f t="shared" ref="A7:A12" si="1">A6+1</f>
        <v>3</v>
      </c>
      <c r="B7" s="9">
        <v>3</v>
      </c>
      <c r="C7" s="3">
        <v>8</v>
      </c>
      <c r="D7" s="3">
        <v>1</v>
      </c>
      <c r="E7" s="10">
        <v>4</v>
      </c>
      <c r="G7">
        <v>3</v>
      </c>
      <c r="H7">
        <v>4</v>
      </c>
      <c r="I7">
        <v>16</v>
      </c>
      <c r="J7">
        <v>4</v>
      </c>
      <c r="K7">
        <v>8.6666666666666661</v>
      </c>
      <c r="O7" s="9">
        <v>0</v>
      </c>
      <c r="P7" s="3">
        <v>3</v>
      </c>
      <c r="Q7" s="3">
        <v>1</v>
      </c>
      <c r="R7" s="3">
        <v>3</v>
      </c>
      <c r="S7" s="3">
        <v>5</v>
      </c>
      <c r="T7" s="3">
        <v>6</v>
      </c>
      <c r="U7" s="3">
        <v>7</v>
      </c>
      <c r="V7" s="10">
        <v>9</v>
      </c>
      <c r="X7">
        <f>Q4</f>
        <v>3</v>
      </c>
      <c r="Y7">
        <f>COUNT(Q5:Q8)</f>
        <v>4</v>
      </c>
      <c r="Z7">
        <f>SUM(Q5:Q8)</f>
        <v>16</v>
      </c>
      <c r="AA7">
        <f>AVERAGE(Q5:Q8)</f>
        <v>4</v>
      </c>
      <c r="AB7">
        <f>VAR(Q5:Q8)</f>
        <v>8.6666666666666661</v>
      </c>
      <c r="AC7">
        <f>DEVSQ(Q5:Q8)</f>
        <v>26</v>
      </c>
      <c r="AD7">
        <f>SQRT(AA17/Y7)</f>
        <v>0.75863089400138017</v>
      </c>
      <c r="AE7">
        <f>AA7-AD7*TINV(AD3,Y7-1)</f>
        <v>1.5856979143112304</v>
      </c>
      <c r="AF7">
        <f>AA7+AD7*TINV(AD3,Y7-1)</f>
        <v>6.4143020856887691</v>
      </c>
    </row>
    <row r="8" spans="1:32" x14ac:dyDescent="0.35">
      <c r="A8" s="3">
        <f t="shared" si="1"/>
        <v>4</v>
      </c>
      <c r="B8" s="9">
        <v>6</v>
      </c>
      <c r="C8" s="3">
        <v>4</v>
      </c>
      <c r="D8" s="3">
        <v>3</v>
      </c>
      <c r="E8" s="10">
        <v>3</v>
      </c>
      <c r="G8">
        <v>4</v>
      </c>
      <c r="H8">
        <v>4</v>
      </c>
      <c r="I8">
        <v>16</v>
      </c>
      <c r="J8">
        <v>4</v>
      </c>
      <c r="K8">
        <v>2</v>
      </c>
      <c r="O8" s="11">
        <v>1</v>
      </c>
      <c r="P8" s="12">
        <v>2</v>
      </c>
      <c r="Q8" s="12">
        <v>4</v>
      </c>
      <c r="R8" s="12">
        <v>3</v>
      </c>
      <c r="S8" s="12">
        <v>6</v>
      </c>
      <c r="T8" s="12">
        <v>2</v>
      </c>
      <c r="U8" s="12">
        <v>9</v>
      </c>
      <c r="V8" s="13">
        <v>8</v>
      </c>
      <c r="X8">
        <f>R4</f>
        <v>4</v>
      </c>
      <c r="Y8">
        <f>COUNT(R5:R8)</f>
        <v>4</v>
      </c>
      <c r="Z8">
        <f>SUM(R5:R8)</f>
        <v>16</v>
      </c>
      <c r="AA8">
        <f>AVERAGE(R5:R8)</f>
        <v>4</v>
      </c>
      <c r="AB8">
        <f>VAR(R5:R8)</f>
        <v>2</v>
      </c>
      <c r="AC8">
        <f>DEVSQ(R5:R8)</f>
        <v>6</v>
      </c>
      <c r="AD8">
        <f>SQRT(AA17/Y8)</f>
        <v>0.75863089400138017</v>
      </c>
      <c r="AE8">
        <f>AA8-AD8*TINV(AD3,Y8-1)</f>
        <v>1.5856979143112304</v>
      </c>
      <c r="AF8">
        <f>AA8+AD8*TINV(AD3,Y8-1)</f>
        <v>6.4143020856887691</v>
      </c>
    </row>
    <row r="9" spans="1:32" x14ac:dyDescent="0.35">
      <c r="A9" s="3">
        <f t="shared" si="1"/>
        <v>5</v>
      </c>
      <c r="B9" s="9">
        <v>6</v>
      </c>
      <c r="C9" s="3">
        <v>5</v>
      </c>
      <c r="D9" s="3">
        <v>5</v>
      </c>
      <c r="E9" s="10">
        <v>6</v>
      </c>
      <c r="G9">
        <v>5</v>
      </c>
      <c r="H9">
        <v>4</v>
      </c>
      <c r="I9">
        <v>22</v>
      </c>
      <c r="J9">
        <v>5.5</v>
      </c>
      <c r="K9">
        <v>0.33333333333333331</v>
      </c>
      <c r="X9">
        <f>S4</f>
        <v>5</v>
      </c>
      <c r="Y9">
        <f>COUNT(S5:S8)</f>
        <v>4</v>
      </c>
      <c r="Z9">
        <f>SUM(S5:S8)</f>
        <v>22</v>
      </c>
      <c r="AA9">
        <f>AVERAGE(S5:S8)</f>
        <v>5.5</v>
      </c>
      <c r="AB9">
        <f>VAR(S5:S8)</f>
        <v>0.33333333333333331</v>
      </c>
      <c r="AC9">
        <f>DEVSQ(S5:S8)</f>
        <v>1</v>
      </c>
      <c r="AD9">
        <f>SQRT(AA17/Y9)</f>
        <v>0.75863089400138017</v>
      </c>
      <c r="AE9">
        <f>AA9-AD9*TINV(AD3,Y9-1)</f>
        <v>3.0856979143112304</v>
      </c>
      <c r="AF9">
        <f>AA9+AD9*TINV(AD3,Y9-1)</f>
        <v>7.9143020856887691</v>
      </c>
    </row>
    <row r="10" spans="1:32" x14ac:dyDescent="0.35">
      <c r="A10" s="3">
        <f t="shared" si="1"/>
        <v>6</v>
      </c>
      <c r="B10" s="9">
        <v>7</v>
      </c>
      <c r="C10" s="3">
        <v>5</v>
      </c>
      <c r="D10" s="3">
        <v>6</v>
      </c>
      <c r="E10" s="10">
        <v>2</v>
      </c>
      <c r="G10">
        <v>6</v>
      </c>
      <c r="H10">
        <v>4</v>
      </c>
      <c r="I10">
        <v>20</v>
      </c>
      <c r="J10">
        <v>5</v>
      </c>
      <c r="K10">
        <v>4.666666666666667</v>
      </c>
      <c r="O10" t="s">
        <v>23</v>
      </c>
      <c r="X10">
        <f>T4</f>
        <v>6</v>
      </c>
      <c r="Y10">
        <f>COUNT(T5:T8)</f>
        <v>4</v>
      </c>
      <c r="Z10">
        <f>SUM(T5:T8)</f>
        <v>20</v>
      </c>
      <c r="AA10">
        <f>AVERAGE(T5:T8)</f>
        <v>5</v>
      </c>
      <c r="AB10">
        <f>VAR(T5:T8)</f>
        <v>4.666666666666667</v>
      </c>
      <c r="AC10">
        <f>DEVSQ(T5:T8)</f>
        <v>14</v>
      </c>
      <c r="AD10">
        <f>SQRT(AA17/Y10)</f>
        <v>0.75863089400138017</v>
      </c>
      <c r="AE10">
        <f>AA10-AD10*TINV(AD3,Y10-1)</f>
        <v>2.5856979143112304</v>
      </c>
      <c r="AF10">
        <f>AA10+AD10*TINV(AD3,Y10-1)</f>
        <v>7.4143020856887691</v>
      </c>
    </row>
    <row r="11" spans="1:32" x14ac:dyDescent="0.35">
      <c r="A11" s="3">
        <f t="shared" si="1"/>
        <v>7</v>
      </c>
      <c r="B11" s="9">
        <v>8</v>
      </c>
      <c r="C11" s="3">
        <v>7</v>
      </c>
      <c r="D11" s="3">
        <v>7</v>
      </c>
      <c r="E11" s="10">
        <v>9</v>
      </c>
      <c r="G11">
        <v>7</v>
      </c>
      <c r="H11">
        <v>4</v>
      </c>
      <c r="I11">
        <v>31</v>
      </c>
      <c r="J11">
        <v>7.75</v>
      </c>
      <c r="K11">
        <v>0.91666666666666663</v>
      </c>
      <c r="X11">
        <f>U4</f>
        <v>7</v>
      </c>
      <c r="Y11">
        <f>COUNT(U5:U8)</f>
        <v>4</v>
      </c>
      <c r="Z11">
        <f>SUM(U5:U8)</f>
        <v>31</v>
      </c>
      <c r="AA11">
        <f>AVERAGE(U5:U8)</f>
        <v>7.75</v>
      </c>
      <c r="AB11">
        <f>VAR(U5:U8)</f>
        <v>0.91666666666666663</v>
      </c>
      <c r="AC11">
        <f>DEVSQ(U5:U8)</f>
        <v>2.75</v>
      </c>
      <c r="AD11">
        <f>SQRT(AA17/Y11)</f>
        <v>0.75863089400138017</v>
      </c>
      <c r="AE11">
        <f>AA11-AD11*TINV(AD3,Y11-1)</f>
        <v>5.3356979143112309</v>
      </c>
      <c r="AF11">
        <f>AA11+AD11*TINV(AD3,Y11-1)</f>
        <v>10.164302085688769</v>
      </c>
    </row>
    <row r="12" spans="1:32" ht="15" thickBot="1" x14ac:dyDescent="0.4">
      <c r="A12" s="3">
        <f t="shared" si="1"/>
        <v>8</v>
      </c>
      <c r="B12" s="11">
        <v>9</v>
      </c>
      <c r="C12" s="12">
        <v>9</v>
      </c>
      <c r="D12" s="12">
        <v>9</v>
      </c>
      <c r="E12" s="13">
        <v>8</v>
      </c>
      <c r="G12" s="14">
        <v>8</v>
      </c>
      <c r="H12" s="14">
        <v>4</v>
      </c>
      <c r="I12" s="14">
        <v>35</v>
      </c>
      <c r="J12" s="14">
        <v>8.75</v>
      </c>
      <c r="K12" s="14">
        <v>0.25</v>
      </c>
      <c r="O12" t="s">
        <v>24</v>
      </c>
      <c r="P12" s="15" t="e">
        <f ca="1">(MSBet(O5:V8)-MSW(O5:V8))/(MSBet(O5:V8)+(COUNTA(O5:O8)-1)*MSW(O5:V8))</f>
        <v>#NAME?</v>
      </c>
      <c r="X12">
        <f>V4</f>
        <v>8</v>
      </c>
      <c r="Y12">
        <f>COUNT(V5:V8)</f>
        <v>4</v>
      </c>
      <c r="Z12">
        <f>SUM(V5:V8)</f>
        <v>35</v>
      </c>
      <c r="AA12">
        <f>AVERAGE(V5:V8)</f>
        <v>8.75</v>
      </c>
      <c r="AB12">
        <f>VAR(V5:V8)</f>
        <v>0.25</v>
      </c>
      <c r="AC12">
        <f>DEVSQ(V5:V8)</f>
        <v>0.75</v>
      </c>
      <c r="AD12">
        <f>SQRT(AA17/Y12)</f>
        <v>0.75863089400138017</v>
      </c>
      <c r="AE12">
        <f>AA12-AD12*TINV(AD3,Y12-1)</f>
        <v>6.3356979143112309</v>
      </c>
      <c r="AF12">
        <f>AA12+AD12*TINV(AD3,Y12-1)</f>
        <v>11.164302085688769</v>
      </c>
    </row>
    <row r="13" spans="1:32" x14ac:dyDescent="0.35"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ht="15" thickBot="1" x14ac:dyDescent="0.4">
      <c r="O14" s="17" t="s">
        <v>25</v>
      </c>
      <c r="X14" t="s">
        <v>26</v>
      </c>
    </row>
    <row r="15" spans="1:32" ht="15.5" thickTop="1" thickBot="1" x14ac:dyDescent="0.4">
      <c r="G15" t="s">
        <v>26</v>
      </c>
      <c r="X15" s="5" t="s">
        <v>27</v>
      </c>
      <c r="Y15" s="5" t="s">
        <v>19</v>
      </c>
      <c r="Z15" s="5" t="s">
        <v>28</v>
      </c>
      <c r="AA15" s="5" t="s">
        <v>29</v>
      </c>
      <c r="AB15" s="5" t="s">
        <v>30</v>
      </c>
      <c r="AC15" s="5" t="s">
        <v>31</v>
      </c>
      <c r="AD15" s="5" t="s">
        <v>32</v>
      </c>
      <c r="AE15" s="5" t="s">
        <v>33</v>
      </c>
      <c r="AF15" s="5" t="s">
        <v>34</v>
      </c>
    </row>
    <row r="16" spans="1:32" x14ac:dyDescent="0.35">
      <c r="G16" s="4" t="s">
        <v>35</v>
      </c>
      <c r="H16" s="4" t="s">
        <v>19</v>
      </c>
      <c r="I16" s="4" t="s">
        <v>28</v>
      </c>
      <c r="J16" s="4" t="s">
        <v>29</v>
      </c>
      <c r="K16" s="4" t="s">
        <v>30</v>
      </c>
      <c r="L16" s="4" t="s">
        <v>36</v>
      </c>
      <c r="M16" s="4" t="s">
        <v>37</v>
      </c>
      <c r="O16" t="s">
        <v>38</v>
      </c>
      <c r="P16" s="18" t="e">
        <f ca="1">MSBet(O5:V8)</f>
        <v>#NAME?</v>
      </c>
      <c r="R16" t="e">
        <f ca="1">FTEXT(P16)</f>
        <v>#NAME?</v>
      </c>
      <c r="X16" t="s">
        <v>39</v>
      </c>
      <c r="Y16">
        <f>Y18-Y17</f>
        <v>188.21875</v>
      </c>
      <c r="Z16">
        <f>COUNTA(X5:X12)-1</f>
        <v>7</v>
      </c>
      <c r="AA16">
        <f>Y16/Z16</f>
        <v>26.888392857142858</v>
      </c>
      <c r="AB16">
        <f>AA16/AA17</f>
        <v>11.680025856496444</v>
      </c>
      <c r="AC16">
        <f>FDIST(AB16,Z16,Z17)</f>
        <v>2.1813509548618397E-6</v>
      </c>
      <c r="AD16">
        <f>Y16/Y18</f>
        <v>0.77307149274804265</v>
      </c>
      <c r="AE16">
        <f>SQRT(DEVSQ(AA5:AA12)/(AA17*Z16))</f>
        <v>1.7088026404837133</v>
      </c>
      <c r="AF16">
        <f>(Y18-Z18*AA17)/(Y18+AA17)</f>
        <v>0.70026277867254383</v>
      </c>
    </row>
    <row r="17" spans="7:32" x14ac:dyDescent="0.35">
      <c r="G17" t="s">
        <v>39</v>
      </c>
      <c r="H17">
        <v>188.21875</v>
      </c>
      <c r="I17">
        <v>7</v>
      </c>
      <c r="J17">
        <v>26.888392857142858</v>
      </c>
      <c r="K17">
        <v>11.680025856496444</v>
      </c>
      <c r="L17">
        <v>2.1813509548618397E-6</v>
      </c>
      <c r="M17">
        <v>2.4226285334209159</v>
      </c>
      <c r="O17" s="19" t="s">
        <v>40</v>
      </c>
      <c r="P17" s="20" t="e">
        <f ca="1">MSW(O5:V8)</f>
        <v>#NAME?</v>
      </c>
      <c r="R17" t="e">
        <f ca="1">FTEXT(P17)</f>
        <v>#NAME?</v>
      </c>
      <c r="X17" t="s">
        <v>41</v>
      </c>
      <c r="Y17">
        <f>SUM(AC5:AC12)</f>
        <v>55.25</v>
      </c>
      <c r="Z17">
        <f>Z18-Z16</f>
        <v>24</v>
      </c>
      <c r="AA17">
        <f>Y17/Z17</f>
        <v>2.3020833333333335</v>
      </c>
    </row>
    <row r="18" spans="7:32" x14ac:dyDescent="0.35">
      <c r="G18" t="s">
        <v>41</v>
      </c>
      <c r="H18">
        <v>55.25</v>
      </c>
      <c r="I18">
        <v>24</v>
      </c>
      <c r="J18">
        <v>2.3020833333333335</v>
      </c>
      <c r="O18" t="s">
        <v>42</v>
      </c>
      <c r="P18" s="20">
        <f>COUNTA(O5:O8)</f>
        <v>4</v>
      </c>
      <c r="R18" t="e">
        <f ca="1">FTEXT(P18)</f>
        <v>#NAME?</v>
      </c>
      <c r="X18" s="21" t="s">
        <v>43</v>
      </c>
      <c r="Y18" s="21">
        <f>DEVSQ(O5:V8)</f>
        <v>243.46875</v>
      </c>
      <c r="Z18" s="21">
        <f>COUNT(O5:V8)-1</f>
        <v>31</v>
      </c>
      <c r="AA18" s="21">
        <f>Y18/Z18</f>
        <v>7.85383064516129</v>
      </c>
      <c r="AB18" s="21"/>
      <c r="AC18" s="21"/>
      <c r="AD18" s="21"/>
      <c r="AE18" s="21"/>
      <c r="AF18" s="21"/>
    </row>
    <row r="19" spans="7:32" x14ac:dyDescent="0.35">
      <c r="O19" t="s">
        <v>24</v>
      </c>
      <c r="P19" s="22" t="e">
        <f ca="1">(P16-P17)/(P16+((P18-1)*P17))</f>
        <v>#NAME?</v>
      </c>
      <c r="R19" t="e">
        <f ca="1">FTEXT(P19)</f>
        <v>#NAME?</v>
      </c>
    </row>
    <row r="20" spans="7:32" ht="15" thickBot="1" x14ac:dyDescent="0.4">
      <c r="G20" s="14" t="s">
        <v>43</v>
      </c>
      <c r="H20" s="14">
        <v>243.46875</v>
      </c>
      <c r="I20" s="14">
        <v>31</v>
      </c>
      <c r="J20" s="14"/>
      <c r="K20" s="14"/>
      <c r="L20" s="14"/>
      <c r="M20" s="14"/>
    </row>
    <row r="21" spans="7:32" x14ac:dyDescent="0.35">
      <c r="O21" t="s">
        <v>44</v>
      </c>
    </row>
    <row r="22" spans="7:32" x14ac:dyDescent="0.35">
      <c r="H22" t="s">
        <v>45</v>
      </c>
      <c r="I22" s="15">
        <f>(J17-J18)/(J17+((H5-1)*J18))</f>
        <v>0.72752091589608103</v>
      </c>
      <c r="K22" t="e">
        <f ca="1">FTEXT(I22)</f>
        <v>#NAME?</v>
      </c>
    </row>
    <row r="23" spans="7:32" x14ac:dyDescent="0.35">
      <c r="O23" t="s">
        <v>46</v>
      </c>
      <c r="P23" s="18">
        <v>0.05</v>
      </c>
    </row>
    <row r="24" spans="7:32" x14ac:dyDescent="0.35">
      <c r="H24" t="s">
        <v>46</v>
      </c>
      <c r="I24" s="18">
        <v>0.05</v>
      </c>
      <c r="O24" t="s">
        <v>42</v>
      </c>
      <c r="P24" s="20">
        <f>P18</f>
        <v>4</v>
      </c>
      <c r="R24" t="e">
        <f ca="1">FTEXT(P24)</f>
        <v>#NAME?</v>
      </c>
    </row>
    <row r="25" spans="7:32" x14ac:dyDescent="0.35">
      <c r="H25" t="s">
        <v>42</v>
      </c>
      <c r="I25" s="20">
        <f>H5</f>
        <v>4</v>
      </c>
      <c r="K25" t="e">
        <f ca="1">FTEXT(I25)</f>
        <v>#NAME?</v>
      </c>
      <c r="O25" t="s">
        <v>47</v>
      </c>
      <c r="P25" s="20">
        <f>COUNTA(O4:V4)</f>
        <v>8</v>
      </c>
      <c r="R25" t="e">
        <f ca="1">FTEXT(P25)</f>
        <v>#NAME?</v>
      </c>
    </row>
    <row r="26" spans="7:32" x14ac:dyDescent="0.35">
      <c r="H26" t="s">
        <v>48</v>
      </c>
      <c r="I26" s="20">
        <f>I17</f>
        <v>7</v>
      </c>
      <c r="K26" t="e">
        <f ca="1">FTEXT(I26)</f>
        <v>#NAME?</v>
      </c>
      <c r="O26" t="s">
        <v>49</v>
      </c>
      <c r="P26" s="20">
        <f>P25-1</f>
        <v>7</v>
      </c>
      <c r="R26" t="e">
        <f ca="1">FTEXT(P26)</f>
        <v>#NAME?</v>
      </c>
    </row>
    <row r="27" spans="7:32" x14ac:dyDescent="0.35">
      <c r="H27" t="s">
        <v>50</v>
      </c>
      <c r="I27" s="20">
        <f>I18</f>
        <v>24</v>
      </c>
      <c r="K27" t="e">
        <f ca="1">FTEXT(I27)</f>
        <v>#NAME?</v>
      </c>
      <c r="O27" t="s">
        <v>51</v>
      </c>
      <c r="P27" s="20">
        <f>P25*(P24-1)</f>
        <v>24</v>
      </c>
      <c r="R27" t="e">
        <f ca="1">FTEXT(P27)</f>
        <v>#NAME?</v>
      </c>
    </row>
    <row r="28" spans="7:32" x14ac:dyDescent="0.35">
      <c r="H28" t="s">
        <v>30</v>
      </c>
      <c r="I28" s="20">
        <f>K17</f>
        <v>11.680025856496444</v>
      </c>
      <c r="K28" t="e">
        <f ca="1">FTEXT(I28)</f>
        <v>#NAME?</v>
      </c>
      <c r="O28" t="s">
        <v>30</v>
      </c>
      <c r="P28" s="20" t="b">
        <f ca="1">_xll.ANOVA1(O5:V8)</f>
        <v>0</v>
      </c>
      <c r="R28" t="e">
        <f ca="1">FTEXT(P28)</f>
        <v>#NAME?</v>
      </c>
    </row>
    <row r="29" spans="7:32" x14ac:dyDescent="0.35">
      <c r="H29" t="s">
        <v>52</v>
      </c>
      <c r="I29" s="20">
        <f>I28/FINV(I24/2,I26,I27)</f>
        <v>4.0643025185585042</v>
      </c>
      <c r="K29" t="e">
        <f ca="1">FTEXT(I29)</f>
        <v>#NAME?</v>
      </c>
      <c r="O29" t="s">
        <v>52</v>
      </c>
      <c r="P29" s="20">
        <f ca="1">P28/FINV(P23/2,P26,P27)</f>
        <v>0</v>
      </c>
      <c r="R29" t="e">
        <f ca="1">FTEXT(P29)</f>
        <v>#NAME?</v>
      </c>
    </row>
    <row r="30" spans="7:32" x14ac:dyDescent="0.35">
      <c r="H30" t="s">
        <v>53</v>
      </c>
      <c r="I30" s="20">
        <f>I28*FINV(I24/2,I27,I26)</f>
        <v>51.567303236605973</v>
      </c>
      <c r="K30" t="e">
        <f ca="1">FTEXT(I30)</f>
        <v>#NAME?</v>
      </c>
      <c r="O30" t="s">
        <v>53</v>
      </c>
      <c r="P30" s="20">
        <f ca="1">P28*FINV(P23/2,P27,P26)</f>
        <v>0</v>
      </c>
      <c r="R30" t="e">
        <f ca="1">FTEXT(P30)</f>
        <v>#NAME?</v>
      </c>
    </row>
    <row r="31" spans="7:32" x14ac:dyDescent="0.35">
      <c r="H31" t="s">
        <v>54</v>
      </c>
      <c r="I31" s="20">
        <f>(I29-1)/(I29+I25-1)</f>
        <v>0.43377283327098881</v>
      </c>
      <c r="K31" t="e">
        <f ca="1">FTEXT(I31)</f>
        <v>#NAME?</v>
      </c>
      <c r="O31" t="s">
        <v>54</v>
      </c>
      <c r="P31" s="20">
        <f ca="1">(P29-1)/(P29+P24-1)</f>
        <v>-0.33333333333333331</v>
      </c>
      <c r="R31" t="e">
        <f ca="1">FTEXT(P31)</f>
        <v>#NAME?</v>
      </c>
    </row>
    <row r="32" spans="7:32" x14ac:dyDescent="0.35">
      <c r="H32" t="s">
        <v>55</v>
      </c>
      <c r="I32" s="22">
        <f>(I30-1)/(I30+I25-1)</f>
        <v>0.92669602925664396</v>
      </c>
      <c r="K32" t="e">
        <f ca="1">FTEXT(I32)</f>
        <v>#NAME?</v>
      </c>
      <c r="O32" t="s">
        <v>55</v>
      </c>
      <c r="P32" s="22">
        <f ca="1">(P30-1)/(P30+P24-1)</f>
        <v>-0.33333333333333331</v>
      </c>
      <c r="R32" t="e">
        <f ca="1">FTEXT(P32)</f>
        <v>#NAME?</v>
      </c>
    </row>
    <row r="34" spans="8:11" x14ac:dyDescent="0.35">
      <c r="H34" t="s">
        <v>56</v>
      </c>
      <c r="I34" s="18">
        <f>(J17-J18)/J17</f>
        <v>0.91438375117604742</v>
      </c>
      <c r="K34" t="e">
        <f ca="1">FTEXT(I34)</f>
        <v>#NAME?</v>
      </c>
    </row>
    <row r="35" spans="8:11" x14ac:dyDescent="0.35">
      <c r="H35" t="s">
        <v>54</v>
      </c>
      <c r="I35" s="20">
        <f>1-1/I29</f>
        <v>0.75395532310063562</v>
      </c>
      <c r="K35" t="e">
        <f ca="1">FTEXT(I35)</f>
        <v>#NAME?</v>
      </c>
    </row>
    <row r="36" spans="8:11" x14ac:dyDescent="0.35">
      <c r="H36" t="s">
        <v>55</v>
      </c>
      <c r="I36" s="22">
        <f>1-1/I30</f>
        <v>0.98060786705460035</v>
      </c>
      <c r="K36" t="e">
        <f ca="1">FTEXT(I36)</f>
        <v>#NAME?</v>
      </c>
    </row>
    <row r="38" spans="8:11" x14ac:dyDescent="0.35">
      <c r="H38" t="s">
        <v>57</v>
      </c>
    </row>
    <row r="40" spans="8:11" x14ac:dyDescent="0.35">
      <c r="H40" t="s">
        <v>45</v>
      </c>
      <c r="I40" s="18" t="e">
        <f ca="1">ICC(B5:E12,1,1)</f>
        <v>#NAME?</v>
      </c>
      <c r="K40" t="e">
        <f ca="1">FTEXT(I40)</f>
        <v>#NAME?</v>
      </c>
    </row>
    <row r="41" spans="8:11" x14ac:dyDescent="0.35">
      <c r="H41" t="s">
        <v>56</v>
      </c>
      <c r="I41" s="22" t="e">
        <f ca="1">ICC(B5:E12,1,4)</f>
        <v>#NAME?</v>
      </c>
      <c r="K41" t="e">
        <f ca="1">FTEXT(I41)</f>
        <v>#NAME?</v>
      </c>
    </row>
    <row r="43" spans="8:11" x14ac:dyDescent="0.35">
      <c r="H43" t="e">
        <f t="array" aca="1" ref="H43:I45" ca="1">ICC(B5:E12,1,1,TRUE)</f>
        <v>#NAME?</v>
      </c>
      <c r="I43" s="18" t="e">
        <f ca="1"/>
        <v>#NAME?</v>
      </c>
      <c r="K43" t="e">
        <f ca="1">FTEXT(I43)</f>
        <v>#NAME?</v>
      </c>
    </row>
    <row r="44" spans="8:11" x14ac:dyDescent="0.35">
      <c r="H44" t="e">
        <f ca="1"/>
        <v>#NAME?</v>
      </c>
      <c r="I44" s="20" t="e">
        <f ca="1"/>
        <v>#NAME?</v>
      </c>
    </row>
    <row r="45" spans="8:11" x14ac:dyDescent="0.35">
      <c r="H45" t="e">
        <f ca="1"/>
        <v>#NAME?</v>
      </c>
      <c r="I45" s="22" t="e">
        <f ca="1"/>
        <v>#NAME?</v>
      </c>
    </row>
    <row r="47" spans="8:11" x14ac:dyDescent="0.35">
      <c r="H47" t="e">
        <f t="array" aca="1" ref="H47:I49" ca="1">ICC(B5:E12,1,4,TRUE)</f>
        <v>#NAME?</v>
      </c>
      <c r="I47" s="18" t="e">
        <f ca="1"/>
        <v>#NAME?</v>
      </c>
      <c r="K47" t="e">
        <f ca="1">FTEXT(I47)</f>
        <v>#NAME?</v>
      </c>
    </row>
    <row r="48" spans="8:11" x14ac:dyDescent="0.35">
      <c r="H48" t="e">
        <f ca="1"/>
        <v>#NAME?</v>
      </c>
      <c r="I48" s="20" t="e">
        <f ca="1"/>
        <v>#NAME?</v>
      </c>
    </row>
    <row r="49" spans="8:9" x14ac:dyDescent="0.35">
      <c r="H49" t="e">
        <f ca="1"/>
        <v>#NAME?</v>
      </c>
      <c r="I49" s="22" t="e">
        <f ca="1"/>
        <v>#NAME?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BD3A-05AA-4335-8969-07EF17AB0F7E}">
  <sheetPr codeName="Sheet446"/>
  <dimension ref="A1:G14"/>
  <sheetViews>
    <sheetView workbookViewId="0"/>
  </sheetViews>
  <sheetFormatPr defaultRowHeight="14.5" x14ac:dyDescent="0.35"/>
  <sheetData>
    <row r="1" spans="1:7" x14ac:dyDescent="0.35">
      <c r="A1" s="1" t="s">
        <v>58</v>
      </c>
    </row>
    <row r="3" spans="1:7" x14ac:dyDescent="0.35">
      <c r="A3" t="s">
        <v>47</v>
      </c>
      <c r="B3" s="23">
        <v>50</v>
      </c>
      <c r="C3" s="16">
        <v>100</v>
      </c>
      <c r="D3" s="24">
        <v>100</v>
      </c>
      <c r="F3" t="s">
        <v>59</v>
      </c>
      <c r="G3" s="18">
        <v>0.2</v>
      </c>
    </row>
    <row r="4" spans="1:7" x14ac:dyDescent="0.35">
      <c r="A4" t="s">
        <v>42</v>
      </c>
      <c r="B4" s="25">
        <v>5</v>
      </c>
      <c r="C4">
        <v>10</v>
      </c>
      <c r="D4" s="26">
        <v>20</v>
      </c>
      <c r="F4" t="s">
        <v>60</v>
      </c>
      <c r="G4" s="20">
        <v>0.3</v>
      </c>
    </row>
    <row r="5" spans="1:7" x14ac:dyDescent="0.35">
      <c r="A5" t="s">
        <v>48</v>
      </c>
      <c r="B5" s="25">
        <f>B3-1</f>
        <v>49</v>
      </c>
      <c r="C5">
        <f>C3-1</f>
        <v>99</v>
      </c>
      <c r="D5" s="26">
        <f>D3-1</f>
        <v>99</v>
      </c>
      <c r="F5" t="s">
        <v>42</v>
      </c>
      <c r="G5" s="20">
        <v>5</v>
      </c>
    </row>
    <row r="6" spans="1:7" x14ac:dyDescent="0.35">
      <c r="A6" t="s">
        <v>50</v>
      </c>
      <c r="B6" s="25">
        <f>B3*(B4-1)</f>
        <v>200</v>
      </c>
      <c r="C6">
        <f>C3*(C4-1)</f>
        <v>900</v>
      </c>
      <c r="D6" s="26">
        <f>D3*(D4-1)</f>
        <v>1900</v>
      </c>
      <c r="F6" t="s">
        <v>61</v>
      </c>
      <c r="G6" s="20">
        <v>0.95</v>
      </c>
    </row>
    <row r="7" spans="1:7" x14ac:dyDescent="0.35">
      <c r="A7" t="s">
        <v>46</v>
      </c>
      <c r="B7" s="25">
        <v>0.05</v>
      </c>
      <c r="C7">
        <v>0.05</v>
      </c>
      <c r="D7" s="26">
        <v>0.05</v>
      </c>
      <c r="F7" t="s">
        <v>46</v>
      </c>
      <c r="G7" s="20">
        <v>0.05</v>
      </c>
    </row>
    <row r="8" spans="1:7" x14ac:dyDescent="0.35">
      <c r="A8" t="s">
        <v>59</v>
      </c>
      <c r="B8" s="25">
        <v>0.2</v>
      </c>
      <c r="C8">
        <v>0.2</v>
      </c>
      <c r="D8" s="26">
        <v>0.2</v>
      </c>
      <c r="F8" t="s">
        <v>47</v>
      </c>
      <c r="G8" s="22" t="e">
        <f ca="1">ICC_SIZE(G3,G4,G5,G6,G7)</f>
        <v>#NAME?</v>
      </c>
    </row>
    <row r="9" spans="1:7" x14ac:dyDescent="0.35">
      <c r="A9" t="s">
        <v>60</v>
      </c>
      <c r="B9" s="25">
        <v>0.3</v>
      </c>
      <c r="C9">
        <v>0.3</v>
      </c>
      <c r="D9" s="26">
        <v>0.3</v>
      </c>
    </row>
    <row r="10" spans="1:7" x14ac:dyDescent="0.35">
      <c r="A10" t="s">
        <v>62</v>
      </c>
      <c r="B10" s="25">
        <f>(1+B4*B8/(1-B8))/(1+B4*B9/(1-B9))</f>
        <v>0.71590909090909094</v>
      </c>
      <c r="C10">
        <f>(1+C4*C8/(1-C8))/(1+C4*C9/(1-C9))</f>
        <v>0.66216216216216217</v>
      </c>
      <c r="D10" s="26">
        <f>(1+D4*D8/(1-D8))/(1+D4*D9/(1-D9))</f>
        <v>0.62686567164179108</v>
      </c>
    </row>
    <row r="11" spans="1:7" x14ac:dyDescent="0.35">
      <c r="A11" t="s">
        <v>63</v>
      </c>
      <c r="B11" s="25">
        <f>FINV(B7,B5,B6)</f>
        <v>1.4180510679425447</v>
      </c>
      <c r="C11">
        <f>FINV(C7,C5,C6)</f>
        <v>1.2625626897379845</v>
      </c>
      <c r="D11" s="26">
        <f>FINV(D7,D5,D6)</f>
        <v>1.2532266035881876</v>
      </c>
    </row>
    <row r="12" spans="1:7" x14ac:dyDescent="0.35">
      <c r="A12" t="s">
        <v>61</v>
      </c>
      <c r="B12" s="27">
        <f>FDIST(B10*B11,B5,B6)</f>
        <v>0.45522270324893632</v>
      </c>
      <c r="C12" s="21">
        <f>FDIST(C10*C11,C5,C6)</f>
        <v>0.87006932216253641</v>
      </c>
      <c r="D12" s="28">
        <f>FDIST(D10*D11,D5,D6)</f>
        <v>0.93966710976513512</v>
      </c>
    </row>
    <row r="14" spans="1:7" x14ac:dyDescent="0.35">
      <c r="A14" t="s">
        <v>61</v>
      </c>
      <c r="B14" s="29" t="e">
        <f ca="1">ICC_POWER(B8,B9,B3,B4,B7)</f>
        <v>#NAME?</v>
      </c>
      <c r="C14" s="30" t="e">
        <f ca="1">ICC_POWER(C8,C9,C3,C4,C7)</f>
        <v>#NAME?</v>
      </c>
      <c r="D14" s="31" t="e">
        <f ca="1">ICC_POWER(D8,D9,D3,D4,D7)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6980-F497-40EE-80CF-72480A289BD7}">
  <sheetPr codeName="Sheet154"/>
  <dimension ref="A1:AG60"/>
  <sheetViews>
    <sheetView workbookViewId="0"/>
  </sheetViews>
  <sheetFormatPr defaultRowHeight="14.5" x14ac:dyDescent="0.35"/>
  <cols>
    <col min="1" max="1" width="7.81640625" customWidth="1"/>
    <col min="2" max="6" width="5.81640625" customWidth="1"/>
    <col min="7" max="7" width="18.26953125" customWidth="1"/>
    <col min="13" max="14" width="9.1796875" customWidth="1"/>
    <col min="27" max="27" width="7" customWidth="1"/>
    <col min="29" max="29" width="3.26953125" customWidth="1"/>
    <col min="30" max="30" width="74.81640625" customWidth="1"/>
    <col min="32" max="32" width="10.7265625" customWidth="1"/>
  </cols>
  <sheetData>
    <row r="1" spans="1:33" x14ac:dyDescent="0.35">
      <c r="A1" s="1" t="s">
        <v>64</v>
      </c>
      <c r="P1" t="s">
        <v>65</v>
      </c>
      <c r="AF1" t="s">
        <v>66</v>
      </c>
    </row>
    <row r="3" spans="1:33" x14ac:dyDescent="0.35">
      <c r="B3" s="2" t="s">
        <v>4</v>
      </c>
      <c r="C3" s="2"/>
      <c r="D3" s="2"/>
      <c r="E3" s="2"/>
      <c r="G3" t="s">
        <v>67</v>
      </c>
      <c r="P3" t="s">
        <v>68</v>
      </c>
      <c r="W3" t="s">
        <v>69</v>
      </c>
      <c r="AF3" t="s">
        <v>70</v>
      </c>
    </row>
    <row r="4" spans="1:33" ht="15" thickBot="1" x14ac:dyDescent="0.4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</row>
    <row r="5" spans="1:33" ht="15" thickBot="1" x14ac:dyDescent="0.4">
      <c r="A5" s="3">
        <v>1</v>
      </c>
      <c r="B5" s="6">
        <v>1</v>
      </c>
      <c r="C5" s="7">
        <v>2</v>
      </c>
      <c r="D5" s="7">
        <v>0</v>
      </c>
      <c r="E5" s="8">
        <v>1</v>
      </c>
      <c r="G5" s="4" t="s">
        <v>5</v>
      </c>
      <c r="H5" s="4" t="s">
        <v>14</v>
      </c>
      <c r="I5" s="4" t="s">
        <v>15</v>
      </c>
      <c r="J5" s="4" t="s">
        <v>16</v>
      </c>
      <c r="K5" s="4" t="s">
        <v>17</v>
      </c>
      <c r="P5" t="s">
        <v>71</v>
      </c>
      <c r="W5" t="s">
        <v>26</v>
      </c>
      <c r="AA5" s="3" t="s">
        <v>7</v>
      </c>
      <c r="AB5" s="3">
        <v>0.05</v>
      </c>
      <c r="AF5" t="s">
        <v>72</v>
      </c>
      <c r="AG5" s="32">
        <v>2</v>
      </c>
    </row>
    <row r="6" spans="1:33" ht="15" thickTop="1" x14ac:dyDescent="0.35">
      <c r="A6" s="3">
        <f>A5+1</f>
        <v>2</v>
      </c>
      <c r="B6" s="9">
        <v>1</v>
      </c>
      <c r="C6" s="3">
        <v>3</v>
      </c>
      <c r="D6" s="3">
        <v>3</v>
      </c>
      <c r="E6" s="10">
        <v>2</v>
      </c>
      <c r="G6">
        <v>1</v>
      </c>
      <c r="H6">
        <v>4</v>
      </c>
      <c r="I6">
        <v>4</v>
      </c>
      <c r="J6">
        <v>1</v>
      </c>
      <c r="K6">
        <v>0.66666666666666663</v>
      </c>
      <c r="Q6" s="3" t="str">
        <f>B4</f>
        <v>A</v>
      </c>
      <c r="R6" s="3" t="str">
        <f>C4</f>
        <v>B</v>
      </c>
      <c r="S6" s="3" t="str">
        <f>D4</f>
        <v>C</v>
      </c>
      <c r="T6" s="3" t="str">
        <f>E4</f>
        <v>D</v>
      </c>
      <c r="W6" s="5"/>
      <c r="X6" s="5" t="s">
        <v>19</v>
      </c>
      <c r="Y6" s="5" t="s">
        <v>28</v>
      </c>
      <c r="Z6" s="5" t="s">
        <v>29</v>
      </c>
      <c r="AA6" s="5" t="s">
        <v>30</v>
      </c>
      <c r="AB6" s="5" t="s">
        <v>73</v>
      </c>
      <c r="AC6" s="5" t="s">
        <v>74</v>
      </c>
      <c r="AF6" t="s">
        <v>75</v>
      </c>
      <c r="AG6" s="33">
        <v>1</v>
      </c>
    </row>
    <row r="7" spans="1:33" x14ac:dyDescent="0.35">
      <c r="A7" s="3">
        <f t="shared" ref="A7:A12" si="0">A6+1</f>
        <v>3</v>
      </c>
      <c r="B7" s="34">
        <v>3</v>
      </c>
      <c r="C7" s="3">
        <v>8</v>
      </c>
      <c r="D7" s="3">
        <v>1</v>
      </c>
      <c r="E7" s="10">
        <v>4</v>
      </c>
      <c r="G7">
        <v>2</v>
      </c>
      <c r="H7">
        <v>4</v>
      </c>
      <c r="I7">
        <v>9</v>
      </c>
      <c r="J7">
        <v>2.25</v>
      </c>
      <c r="K7">
        <v>0.91666666666666663</v>
      </c>
      <c r="P7">
        <f t="shared" ref="P7:P14" si="1">A5</f>
        <v>1</v>
      </c>
      <c r="Q7" s="35">
        <f t="shared" ref="Q7:T14" si="2">COUNT(B5)</f>
        <v>1</v>
      </c>
      <c r="R7" s="36">
        <f t="shared" si="2"/>
        <v>1</v>
      </c>
      <c r="S7" s="36">
        <f t="shared" si="2"/>
        <v>1</v>
      </c>
      <c r="T7" s="37">
        <f t="shared" si="2"/>
        <v>1</v>
      </c>
      <c r="U7">
        <f t="shared" ref="U7:U14" si="3">COUNT(B5:E5)</f>
        <v>4</v>
      </c>
      <c r="W7" t="s">
        <v>76</v>
      </c>
      <c r="X7">
        <f>DEVSQ(U19:U26)*U7</f>
        <v>188.21875</v>
      </c>
      <c r="Y7">
        <f>COUNT(U19:U26)-1</f>
        <v>7</v>
      </c>
      <c r="Z7">
        <f>X7/Y7</f>
        <v>26.888392857142858</v>
      </c>
      <c r="AA7">
        <f>Z7/Z9</f>
        <v>11.7866927592955</v>
      </c>
      <c r="AB7">
        <f>FDIST(AA7,Y7,Y9)</f>
        <v>5.0257154640603623E-6</v>
      </c>
      <c r="AC7" s="3" t="str">
        <f>IF(AB7&lt;AB5,"yes","no")</f>
        <v>yes</v>
      </c>
      <c r="AF7" t="s">
        <v>7</v>
      </c>
      <c r="AG7" s="38">
        <v>0.05</v>
      </c>
    </row>
    <row r="8" spans="1:33" x14ac:dyDescent="0.35">
      <c r="A8" s="3">
        <f t="shared" si="0"/>
        <v>4</v>
      </c>
      <c r="B8" s="9">
        <v>6</v>
      </c>
      <c r="C8" s="3">
        <v>4</v>
      </c>
      <c r="D8" s="3">
        <v>3</v>
      </c>
      <c r="E8" s="10">
        <v>3</v>
      </c>
      <c r="G8">
        <v>3</v>
      </c>
      <c r="H8">
        <v>4</v>
      </c>
      <c r="I8">
        <v>16</v>
      </c>
      <c r="J8">
        <v>4</v>
      </c>
      <c r="K8">
        <v>8.6666666666666661</v>
      </c>
      <c r="P8">
        <f t="shared" si="1"/>
        <v>2</v>
      </c>
      <c r="Q8" s="39">
        <f t="shared" si="2"/>
        <v>1</v>
      </c>
      <c r="R8">
        <f t="shared" si="2"/>
        <v>1</v>
      </c>
      <c r="S8">
        <f t="shared" si="2"/>
        <v>1</v>
      </c>
      <c r="T8" s="40">
        <f t="shared" si="2"/>
        <v>1</v>
      </c>
      <c r="U8">
        <f t="shared" si="3"/>
        <v>4</v>
      </c>
      <c r="W8" t="s">
        <v>77</v>
      </c>
      <c r="X8">
        <f>DEVSQ(Q27:T27)*Q15</f>
        <v>7.34375</v>
      </c>
      <c r="Y8">
        <f>COUNT(Q27:T27)-1</f>
        <v>3</v>
      </c>
      <c r="Z8">
        <f>X8/Y8</f>
        <v>2.4479166666666665</v>
      </c>
      <c r="AA8">
        <f>Z8/Z9</f>
        <v>1.0730593607305936</v>
      </c>
      <c r="AB8">
        <f>FDIST(AA8,Y8,Y9)</f>
        <v>0.3818394427683251</v>
      </c>
      <c r="AC8" s="3" t="str">
        <f>IF(AB8&lt;AB5,"yes","no")</f>
        <v>no</v>
      </c>
    </row>
    <row r="9" spans="1:33" x14ac:dyDescent="0.35">
      <c r="A9" s="3">
        <f t="shared" si="0"/>
        <v>5</v>
      </c>
      <c r="B9" s="34">
        <v>6</v>
      </c>
      <c r="C9" s="3">
        <v>5</v>
      </c>
      <c r="D9" s="3">
        <v>5</v>
      </c>
      <c r="E9" s="10">
        <v>6</v>
      </c>
      <c r="G9">
        <v>4</v>
      </c>
      <c r="H9">
        <v>4</v>
      </c>
      <c r="I9">
        <v>16</v>
      </c>
      <c r="J9">
        <v>4</v>
      </c>
      <c r="K9">
        <v>2</v>
      </c>
      <c r="P9">
        <f t="shared" si="1"/>
        <v>3</v>
      </c>
      <c r="Q9" s="39">
        <f t="shared" si="2"/>
        <v>1</v>
      </c>
      <c r="R9">
        <f t="shared" si="2"/>
        <v>1</v>
      </c>
      <c r="S9">
        <f t="shared" si="2"/>
        <v>1</v>
      </c>
      <c r="T9" s="40">
        <f t="shared" si="2"/>
        <v>1</v>
      </c>
      <c r="U9">
        <f t="shared" si="3"/>
        <v>4</v>
      </c>
      <c r="W9" t="s">
        <v>78</v>
      </c>
      <c r="X9">
        <f>X11-X7-X8</f>
        <v>47.90625</v>
      </c>
      <c r="Y9">
        <f>Y8*Y7</f>
        <v>21</v>
      </c>
      <c r="Z9">
        <f>X9/Y9</f>
        <v>2.28125</v>
      </c>
      <c r="AF9" t="e">
        <f t="array" aca="1" ref="AF9:AG11" ca="1">ICC(B5:E12,AG5,AG6,TRUE,AG7)</f>
        <v>#NAME?</v>
      </c>
      <c r="AG9" s="32" t="e">
        <f ca="1"/>
        <v>#NAME?</v>
      </c>
    </row>
    <row r="10" spans="1:33" x14ac:dyDescent="0.35">
      <c r="A10" s="3">
        <f t="shared" si="0"/>
        <v>6</v>
      </c>
      <c r="B10" s="34">
        <v>7</v>
      </c>
      <c r="C10" s="3">
        <v>5</v>
      </c>
      <c r="D10" s="3">
        <v>6</v>
      </c>
      <c r="E10" s="10">
        <v>2</v>
      </c>
      <c r="G10">
        <v>5</v>
      </c>
      <c r="H10">
        <v>4</v>
      </c>
      <c r="I10">
        <v>22</v>
      </c>
      <c r="J10">
        <v>5.5</v>
      </c>
      <c r="K10">
        <v>0.33333333333333331</v>
      </c>
      <c r="P10">
        <f t="shared" si="1"/>
        <v>4</v>
      </c>
      <c r="Q10" s="39">
        <f t="shared" si="2"/>
        <v>1</v>
      </c>
      <c r="R10">
        <f t="shared" si="2"/>
        <v>1</v>
      </c>
      <c r="S10">
        <f t="shared" si="2"/>
        <v>1</v>
      </c>
      <c r="T10" s="40">
        <f t="shared" si="2"/>
        <v>1</v>
      </c>
      <c r="U10">
        <f t="shared" si="3"/>
        <v>4</v>
      </c>
      <c r="AF10" t="e">
        <f ca="1"/>
        <v>#NAME?</v>
      </c>
      <c r="AG10" s="33" t="e">
        <f ca="1"/>
        <v>#NAME?</v>
      </c>
    </row>
    <row r="11" spans="1:33" x14ac:dyDescent="0.35">
      <c r="A11" s="3">
        <f t="shared" si="0"/>
        <v>7</v>
      </c>
      <c r="B11" s="34">
        <v>8</v>
      </c>
      <c r="C11" s="3">
        <v>7</v>
      </c>
      <c r="D11" s="3">
        <v>7</v>
      </c>
      <c r="E11" s="10">
        <v>9</v>
      </c>
      <c r="G11">
        <v>6</v>
      </c>
      <c r="H11">
        <v>4</v>
      </c>
      <c r="I11">
        <v>20</v>
      </c>
      <c r="J11">
        <v>5</v>
      </c>
      <c r="K11">
        <v>4.666666666666667</v>
      </c>
      <c r="P11">
        <f t="shared" si="1"/>
        <v>5</v>
      </c>
      <c r="Q11" s="39">
        <f t="shared" si="2"/>
        <v>1</v>
      </c>
      <c r="R11">
        <f t="shared" si="2"/>
        <v>1</v>
      </c>
      <c r="S11">
        <f t="shared" si="2"/>
        <v>1</v>
      </c>
      <c r="T11" s="40">
        <f t="shared" si="2"/>
        <v>1</v>
      </c>
      <c r="U11">
        <f t="shared" si="3"/>
        <v>4</v>
      </c>
      <c r="W11" s="21" t="s">
        <v>43</v>
      </c>
      <c r="X11" s="21">
        <f>Z11*Y11</f>
        <v>243.46875</v>
      </c>
      <c r="Y11" s="21">
        <f>U15-1</f>
        <v>31</v>
      </c>
      <c r="Z11" s="21">
        <f>U39</f>
        <v>7.85383064516129</v>
      </c>
      <c r="AA11" s="21"/>
      <c r="AB11" s="21"/>
      <c r="AC11" s="21"/>
      <c r="AF11" t="e">
        <f ca="1"/>
        <v>#NAME?</v>
      </c>
      <c r="AG11" s="38" t="e">
        <f ca="1"/>
        <v>#NAME?</v>
      </c>
    </row>
    <row r="12" spans="1:33" x14ac:dyDescent="0.35">
      <c r="A12" s="3">
        <f t="shared" si="0"/>
        <v>8</v>
      </c>
      <c r="B12" s="11">
        <v>9</v>
      </c>
      <c r="C12" s="12">
        <v>9</v>
      </c>
      <c r="D12" s="12">
        <v>9</v>
      </c>
      <c r="E12" s="13">
        <v>8</v>
      </c>
      <c r="G12">
        <v>7</v>
      </c>
      <c r="H12">
        <v>4</v>
      </c>
      <c r="I12">
        <v>31</v>
      </c>
      <c r="J12">
        <v>7.75</v>
      </c>
      <c r="K12">
        <v>0.91666666666666663</v>
      </c>
      <c r="P12">
        <f t="shared" si="1"/>
        <v>6</v>
      </c>
      <c r="Q12" s="39">
        <f t="shared" si="2"/>
        <v>1</v>
      </c>
      <c r="R12">
        <f t="shared" si="2"/>
        <v>1</v>
      </c>
      <c r="S12">
        <f t="shared" si="2"/>
        <v>1</v>
      </c>
      <c r="T12" s="40">
        <f t="shared" si="2"/>
        <v>1</v>
      </c>
      <c r="U12">
        <f t="shared" si="3"/>
        <v>4</v>
      </c>
    </row>
    <row r="13" spans="1:33" x14ac:dyDescent="0.35">
      <c r="G13">
        <v>8</v>
      </c>
      <c r="H13">
        <v>4</v>
      </c>
      <c r="I13">
        <v>35</v>
      </c>
      <c r="J13">
        <v>8.75</v>
      </c>
      <c r="K13">
        <v>0.25</v>
      </c>
      <c r="P13">
        <f t="shared" si="1"/>
        <v>7</v>
      </c>
      <c r="Q13" s="39">
        <f t="shared" si="2"/>
        <v>1</v>
      </c>
      <c r="R13">
        <f t="shared" si="2"/>
        <v>1</v>
      </c>
      <c r="S13">
        <f t="shared" si="2"/>
        <v>1</v>
      </c>
      <c r="T13" s="40">
        <f t="shared" si="2"/>
        <v>1</v>
      </c>
      <c r="U13">
        <f t="shared" si="3"/>
        <v>4</v>
      </c>
      <c r="W13" t="s">
        <v>24</v>
      </c>
      <c r="Y13" s="15">
        <f>(Z7-Z9)/(Z7+Y8*Z9+(Y8+1)*(Z8-Z9)/(Y7+1))</f>
        <v>0.72768878718535457</v>
      </c>
    </row>
    <row r="14" spans="1:33" x14ac:dyDescent="0.35">
      <c r="P14">
        <f t="shared" si="1"/>
        <v>8</v>
      </c>
      <c r="Q14" s="41">
        <f t="shared" si="2"/>
        <v>1</v>
      </c>
      <c r="R14" s="42">
        <f t="shared" si="2"/>
        <v>1</v>
      </c>
      <c r="S14" s="42">
        <f t="shared" si="2"/>
        <v>1</v>
      </c>
      <c r="T14" s="43">
        <f t="shared" si="2"/>
        <v>1</v>
      </c>
      <c r="U14">
        <f t="shared" si="3"/>
        <v>4</v>
      </c>
    </row>
    <row r="15" spans="1:33" x14ac:dyDescent="0.35">
      <c r="G15" t="s">
        <v>9</v>
      </c>
      <c r="H15">
        <v>8</v>
      </c>
      <c r="I15">
        <v>41</v>
      </c>
      <c r="J15">
        <v>5.125</v>
      </c>
      <c r="K15">
        <v>9.5535714285714288</v>
      </c>
      <c r="Q15">
        <f>COUNT(B5:B12)</f>
        <v>8</v>
      </c>
      <c r="R15">
        <f>COUNT(C5:C12)</f>
        <v>8</v>
      </c>
      <c r="S15">
        <f>COUNT(D5:D12)</f>
        <v>8</v>
      </c>
      <c r="T15">
        <f>COUNT(E5:E12)</f>
        <v>8</v>
      </c>
      <c r="U15">
        <f>COUNT(B5:E12)</f>
        <v>32</v>
      </c>
      <c r="AA15" t="s">
        <v>46</v>
      </c>
      <c r="AB15" s="18">
        <v>0.05</v>
      </c>
    </row>
    <row r="16" spans="1:33" x14ac:dyDescent="0.35">
      <c r="G16" t="s">
        <v>10</v>
      </c>
      <c r="H16">
        <v>8</v>
      </c>
      <c r="I16">
        <v>43</v>
      </c>
      <c r="J16">
        <v>5.375</v>
      </c>
      <c r="K16">
        <v>5.9821428571428568</v>
      </c>
      <c r="W16" t="s">
        <v>79</v>
      </c>
      <c r="Y16" s="18">
        <f>Z7-Z9</f>
        <v>24.607142857142858</v>
      </c>
      <c r="AA16" s="19" t="s">
        <v>47</v>
      </c>
      <c r="AB16" s="20">
        <f>Y7+1</f>
        <v>8</v>
      </c>
      <c r="AD16" s="17" t="e">
        <f ca="1">FTEXT(AB16)</f>
        <v>#NAME?</v>
      </c>
    </row>
    <row r="17" spans="7:30" x14ac:dyDescent="0.35">
      <c r="G17" t="s">
        <v>11</v>
      </c>
      <c r="H17">
        <v>8</v>
      </c>
      <c r="I17">
        <v>34</v>
      </c>
      <c r="J17">
        <v>4.25</v>
      </c>
      <c r="K17">
        <v>9.3571428571428577</v>
      </c>
      <c r="P17" t="s">
        <v>80</v>
      </c>
      <c r="W17" t="s">
        <v>81</v>
      </c>
      <c r="Y17" s="20">
        <f>(Y8+1)*Z9</f>
        <v>9.125</v>
      </c>
      <c r="AA17" s="19" t="s">
        <v>42</v>
      </c>
      <c r="AB17" s="20">
        <f>Y8+1</f>
        <v>4</v>
      </c>
      <c r="AD17" s="17" t="e">
        <f ca="1">FTEXT(AB17)</f>
        <v>#NAME?</v>
      </c>
    </row>
    <row r="18" spans="7:30" ht="15" thickBot="1" x14ac:dyDescent="0.4">
      <c r="G18" s="14" t="s">
        <v>12</v>
      </c>
      <c r="H18" s="14">
        <v>8</v>
      </c>
      <c r="I18" s="14">
        <v>35</v>
      </c>
      <c r="J18" s="14">
        <v>4.375</v>
      </c>
      <c r="K18" s="14">
        <v>8.8392857142857135</v>
      </c>
      <c r="Q18" s="3" t="str">
        <f>B4</f>
        <v>A</v>
      </c>
      <c r="R18" s="3" t="str">
        <f>C4</f>
        <v>B</v>
      </c>
      <c r="S18" s="3" t="str">
        <f>D4</f>
        <v>C</v>
      </c>
      <c r="T18" s="3" t="str">
        <f>E4</f>
        <v>D</v>
      </c>
      <c r="W18" t="s">
        <v>82</v>
      </c>
      <c r="Y18" s="20">
        <f>(Y8+1)*(Z8-Z9)/(Y7+1)</f>
        <v>8.3333333333333259E-2</v>
      </c>
      <c r="AA18" t="s">
        <v>83</v>
      </c>
      <c r="AB18" s="20">
        <f>AB16*(1+(AB17-1)*Y13)-AB17*Y13</f>
        <v>22.553775743707089</v>
      </c>
      <c r="AD18" s="17" t="e">
        <f ca="1">FTEXT(AB18)</f>
        <v>#NAME?</v>
      </c>
    </row>
    <row r="19" spans="7:30" x14ac:dyDescent="0.35">
      <c r="P19">
        <f t="shared" ref="P19:P26" si="4">A5</f>
        <v>1</v>
      </c>
      <c r="Q19" s="35">
        <f t="shared" ref="Q19:T26" si="5">AVERAGE(B5)</f>
        <v>1</v>
      </c>
      <c r="R19" s="36">
        <f t="shared" si="5"/>
        <v>2</v>
      </c>
      <c r="S19" s="36">
        <f t="shared" si="5"/>
        <v>0</v>
      </c>
      <c r="T19" s="37">
        <f t="shared" si="5"/>
        <v>1</v>
      </c>
      <c r="U19">
        <f t="shared" ref="U19:U26" si="6">AVERAGE(B5:E5)</f>
        <v>1</v>
      </c>
      <c r="W19" t="s">
        <v>84</v>
      </c>
      <c r="Y19" s="20">
        <f>SUM(Y16:Y18)</f>
        <v>33.815476190476197</v>
      </c>
      <c r="AA19" t="s">
        <v>85</v>
      </c>
      <c r="AB19" s="20">
        <f>AA8</f>
        <v>1.0730593607305936</v>
      </c>
      <c r="AD19" s="17" t="e">
        <f ca="1">FTEXT(AB19)</f>
        <v>#NAME?</v>
      </c>
    </row>
    <row r="20" spans="7:30" x14ac:dyDescent="0.35">
      <c r="P20">
        <f t="shared" si="4"/>
        <v>2</v>
      </c>
      <c r="Q20" s="39">
        <f t="shared" si="5"/>
        <v>1</v>
      </c>
      <c r="R20">
        <f t="shared" si="5"/>
        <v>3</v>
      </c>
      <c r="S20">
        <f t="shared" si="5"/>
        <v>3</v>
      </c>
      <c r="T20" s="40">
        <f t="shared" si="5"/>
        <v>2</v>
      </c>
      <c r="U20">
        <f t="shared" si="6"/>
        <v>2.25</v>
      </c>
      <c r="W20" t="s">
        <v>24</v>
      </c>
      <c r="Y20" s="22">
        <f>Y16/Y19</f>
        <v>0.72768878718535457</v>
      </c>
      <c r="AA20" t="s">
        <v>86</v>
      </c>
      <c r="AB20" s="20">
        <f>AB17*Z8+(AB16*AB17-AB17-AB16)*Z9</f>
        <v>55.416666666666664</v>
      </c>
      <c r="AD20" s="17" t="e">
        <f ca="1">FTEXT(AB20)</f>
        <v>#NAME?</v>
      </c>
    </row>
    <row r="21" spans="7:30" ht="15" thickBot="1" x14ac:dyDescent="0.4">
      <c r="G21" t="s">
        <v>26</v>
      </c>
      <c r="P21">
        <f t="shared" si="4"/>
        <v>3</v>
      </c>
      <c r="Q21" s="39">
        <f t="shared" si="5"/>
        <v>3</v>
      </c>
      <c r="R21">
        <f t="shared" si="5"/>
        <v>8</v>
      </c>
      <c r="S21">
        <f t="shared" si="5"/>
        <v>1</v>
      </c>
      <c r="T21" s="40">
        <f t="shared" si="5"/>
        <v>4</v>
      </c>
      <c r="U21">
        <f t="shared" si="6"/>
        <v>4</v>
      </c>
      <c r="AA21" t="s">
        <v>87</v>
      </c>
      <c r="AB21" s="20">
        <f>(AB17-1)*(AB16-1)*(AB17*Y13*AB19+AB18)^2/((AB16-1)*(AB17*Y13*AB19)^2+AB18^2)</f>
        <v>23.997525280220316</v>
      </c>
      <c r="AD21" s="17" t="e">
        <f ca="1">FTEXT(AB21)</f>
        <v>#NAME?</v>
      </c>
    </row>
    <row r="22" spans="7:30" x14ac:dyDescent="0.35">
      <c r="G22" s="4" t="s">
        <v>35</v>
      </c>
      <c r="H22" s="4" t="s">
        <v>19</v>
      </c>
      <c r="I22" s="4" t="s">
        <v>28</v>
      </c>
      <c r="J22" s="4" t="s">
        <v>29</v>
      </c>
      <c r="K22" s="4" t="s">
        <v>30</v>
      </c>
      <c r="L22" s="4" t="s">
        <v>36</v>
      </c>
      <c r="M22" s="4" t="s">
        <v>37</v>
      </c>
      <c r="P22">
        <f t="shared" si="4"/>
        <v>4</v>
      </c>
      <c r="Q22" s="39">
        <f t="shared" si="5"/>
        <v>6</v>
      </c>
      <c r="R22">
        <f t="shared" si="5"/>
        <v>4</v>
      </c>
      <c r="S22">
        <f t="shared" si="5"/>
        <v>3</v>
      </c>
      <c r="T22" s="40">
        <f t="shared" si="5"/>
        <v>3</v>
      </c>
      <c r="U22">
        <f t="shared" si="6"/>
        <v>4</v>
      </c>
      <c r="AA22" t="s">
        <v>88</v>
      </c>
      <c r="AB22" s="20">
        <f>MAX(1,ROUND(AB21,0))</f>
        <v>24</v>
      </c>
      <c r="AD22" s="17" t="e">
        <f ca="1">FTEXT(AB22)</f>
        <v>#NAME?</v>
      </c>
    </row>
    <row r="23" spans="7:30" x14ac:dyDescent="0.35">
      <c r="G23" t="s">
        <v>76</v>
      </c>
      <c r="H23">
        <v>188.21875</v>
      </c>
      <c r="I23">
        <v>7</v>
      </c>
      <c r="J23">
        <v>26.888392857142858</v>
      </c>
      <c r="K23">
        <v>11.7866927592955</v>
      </c>
      <c r="L23">
        <v>5.0257154640603623E-6</v>
      </c>
      <c r="M23">
        <v>2.487577703722041</v>
      </c>
      <c r="P23">
        <f t="shared" si="4"/>
        <v>5</v>
      </c>
      <c r="Q23" s="39">
        <f t="shared" si="5"/>
        <v>6</v>
      </c>
      <c r="R23">
        <f t="shared" si="5"/>
        <v>5</v>
      </c>
      <c r="S23">
        <f t="shared" si="5"/>
        <v>5</v>
      </c>
      <c r="T23" s="40">
        <f t="shared" si="5"/>
        <v>6</v>
      </c>
      <c r="U23">
        <f t="shared" si="6"/>
        <v>5.5</v>
      </c>
      <c r="AA23" t="s">
        <v>89</v>
      </c>
      <c r="AB23" s="20">
        <f>FINV(AB15/2,AB16-1,AB22)</f>
        <v>2.8738081880378892</v>
      </c>
      <c r="AD23" s="17" t="s">
        <v>90</v>
      </c>
    </row>
    <row r="24" spans="7:30" x14ac:dyDescent="0.35">
      <c r="G24" t="s">
        <v>77</v>
      </c>
      <c r="H24">
        <v>7.34375</v>
      </c>
      <c r="I24">
        <v>3</v>
      </c>
      <c r="J24">
        <v>2.4479166666666665</v>
      </c>
      <c r="K24">
        <v>1.0730593607305936</v>
      </c>
      <c r="L24">
        <v>0.3818394427683251</v>
      </c>
      <c r="M24">
        <v>3.0724669863968779</v>
      </c>
      <c r="P24">
        <f t="shared" si="4"/>
        <v>6</v>
      </c>
      <c r="Q24" s="39">
        <f t="shared" si="5"/>
        <v>7</v>
      </c>
      <c r="R24">
        <f t="shared" si="5"/>
        <v>5</v>
      </c>
      <c r="S24">
        <f t="shared" si="5"/>
        <v>6</v>
      </c>
      <c r="T24" s="40">
        <f t="shared" si="5"/>
        <v>2</v>
      </c>
      <c r="U24">
        <f t="shared" si="6"/>
        <v>5</v>
      </c>
      <c r="AA24" t="s">
        <v>91</v>
      </c>
      <c r="AB24" s="22">
        <f>FINV(AB15/2,AB22,AB16-1)</f>
        <v>4.4149990650854747</v>
      </c>
      <c r="AD24" s="17" t="s">
        <v>92</v>
      </c>
    </row>
    <row r="25" spans="7:30" x14ac:dyDescent="0.35">
      <c r="G25" t="s">
        <v>78</v>
      </c>
      <c r="H25">
        <v>47.90625</v>
      </c>
      <c r="I25">
        <v>21</v>
      </c>
      <c r="J25">
        <v>2.28125</v>
      </c>
      <c r="P25">
        <f t="shared" si="4"/>
        <v>7</v>
      </c>
      <c r="Q25" s="39">
        <f t="shared" si="5"/>
        <v>8</v>
      </c>
      <c r="R25">
        <f t="shared" si="5"/>
        <v>7</v>
      </c>
      <c r="S25">
        <f t="shared" si="5"/>
        <v>7</v>
      </c>
      <c r="T25" s="40">
        <f t="shared" si="5"/>
        <v>9</v>
      </c>
      <c r="U25">
        <f t="shared" si="6"/>
        <v>7.75</v>
      </c>
      <c r="AD25" s="17"/>
    </row>
    <row r="26" spans="7:30" x14ac:dyDescent="0.35">
      <c r="P26">
        <f t="shared" si="4"/>
        <v>8</v>
      </c>
      <c r="Q26" s="41">
        <f t="shared" si="5"/>
        <v>9</v>
      </c>
      <c r="R26" s="42">
        <f t="shared" si="5"/>
        <v>9</v>
      </c>
      <c r="S26" s="42">
        <f t="shared" si="5"/>
        <v>9</v>
      </c>
      <c r="T26" s="43">
        <f t="shared" si="5"/>
        <v>8</v>
      </c>
      <c r="U26">
        <f t="shared" si="6"/>
        <v>8.75</v>
      </c>
      <c r="AA26" t="s">
        <v>54</v>
      </c>
      <c r="AB26" s="18">
        <f>AB16*(Z7-AB23*Z9)/(AB23*AB20+AB16*Z7)</f>
        <v>0.43449727446116848</v>
      </c>
      <c r="AD26" s="17" t="e">
        <f ca="1">FTEXT(AB26)</f>
        <v>#NAME?</v>
      </c>
    </row>
    <row r="27" spans="7:30" ht="15" thickBot="1" x14ac:dyDescent="0.4">
      <c r="G27" s="14" t="s">
        <v>43</v>
      </c>
      <c r="H27" s="14">
        <v>243.46875</v>
      </c>
      <c r="I27" s="14">
        <v>31</v>
      </c>
      <c r="J27" s="14"/>
      <c r="K27" s="14"/>
      <c r="L27" s="14"/>
      <c r="M27" s="14"/>
      <c r="Q27">
        <f>AVERAGE(B5:B12)</f>
        <v>5.125</v>
      </c>
      <c r="R27">
        <f>AVERAGE(C5:C12)</f>
        <v>5.375</v>
      </c>
      <c r="S27">
        <f>AVERAGE(D5:D12)</f>
        <v>4.25</v>
      </c>
      <c r="T27">
        <f>AVERAGE(E5:E12)</f>
        <v>4.375</v>
      </c>
      <c r="U27">
        <f>AVERAGE(B5:E12)</f>
        <v>4.78125</v>
      </c>
      <c r="AA27" t="s">
        <v>55</v>
      </c>
      <c r="AB27" s="22">
        <f>AB16*(AB24*Z7-Z9)/(AB20+AB16*AB24*Z7)</f>
        <v>0.92670818441751546</v>
      </c>
      <c r="AD27" s="17" t="e">
        <f ca="1">FTEXT(AB27)</f>
        <v>#NAME?</v>
      </c>
    </row>
    <row r="28" spans="7:30" x14ac:dyDescent="0.35">
      <c r="AD28" s="17"/>
    </row>
    <row r="29" spans="7:30" x14ac:dyDescent="0.35">
      <c r="G29" t="s">
        <v>93</v>
      </c>
      <c r="I29" s="15">
        <f>(J23-J25)/(J23+I24*J25+(I24+1)*(J24-J25)/(I23+1))</f>
        <v>0.72768878718535457</v>
      </c>
      <c r="P29" t="s">
        <v>94</v>
      </c>
      <c r="AA29" t="s">
        <v>95</v>
      </c>
      <c r="AB29" s="18">
        <f>(Z7-Z9)/(Z7+(Z8-Z9)/(Y7+1))</f>
        <v>0.91445003594536312</v>
      </c>
      <c r="AD29" s="17" t="e">
        <f ca="1">FTEXT(AB29)</f>
        <v>#NAME?</v>
      </c>
    </row>
    <row r="30" spans="7:30" x14ac:dyDescent="0.35">
      <c r="Q30" s="3" t="str">
        <f>B4</f>
        <v>A</v>
      </c>
      <c r="R30" s="3" t="str">
        <f>C4</f>
        <v>B</v>
      </c>
      <c r="S30" s="3" t="str">
        <f>D4</f>
        <v>C</v>
      </c>
      <c r="T30" s="3" t="str">
        <f>E4</f>
        <v>D</v>
      </c>
      <c r="AA30" t="s">
        <v>54</v>
      </c>
      <c r="AB30" s="20">
        <f>AB17*AB26/(1+Y8*AB26)</f>
        <v>0.75450196098018374</v>
      </c>
      <c r="AD30" s="17" t="e">
        <f ca="1">FTEXT(AB30)</f>
        <v>#NAME?</v>
      </c>
    </row>
    <row r="31" spans="7:30" x14ac:dyDescent="0.35">
      <c r="G31" t="s">
        <v>96</v>
      </c>
      <c r="I31" s="15" t="e">
        <f ca="1">ICC(B5:E12)</f>
        <v>#NAME?</v>
      </c>
      <c r="K31" t="s">
        <v>46</v>
      </c>
      <c r="L31" s="18">
        <v>0.05</v>
      </c>
      <c r="P31">
        <f t="shared" ref="P31:P38" si="7">A5</f>
        <v>1</v>
      </c>
      <c r="Q31" s="35" t="e">
        <f t="shared" ref="Q31:T38" si="8">VAR(B5)</f>
        <v>#DIV/0!</v>
      </c>
      <c r="R31" s="36" t="e">
        <f t="shared" si="8"/>
        <v>#DIV/0!</v>
      </c>
      <c r="S31" s="36" t="e">
        <f t="shared" si="8"/>
        <v>#DIV/0!</v>
      </c>
      <c r="T31" s="37" t="e">
        <f t="shared" si="8"/>
        <v>#DIV/0!</v>
      </c>
      <c r="U31">
        <f t="shared" ref="U31:U38" si="9">VAR(B5:E5)</f>
        <v>0.66666666666666663</v>
      </c>
      <c r="AA31" t="s">
        <v>55</v>
      </c>
      <c r="AB31" s="22">
        <f>AB17*AB27/(1+Y8*AB27)</f>
        <v>0.98061126966850298</v>
      </c>
      <c r="AD31" s="17" t="e">
        <f ca="1">FTEXT(AB31)</f>
        <v>#NAME?</v>
      </c>
    </row>
    <row r="32" spans="7:30" x14ac:dyDescent="0.35">
      <c r="K32" s="19" t="s">
        <v>47</v>
      </c>
      <c r="L32" s="20">
        <f>I23+1</f>
        <v>8</v>
      </c>
      <c r="N32" t="e">
        <f ca="1">FTEXT(L32)</f>
        <v>#NAME?</v>
      </c>
      <c r="P32">
        <f t="shared" si="7"/>
        <v>2</v>
      </c>
      <c r="Q32" s="39" t="e">
        <f t="shared" si="8"/>
        <v>#DIV/0!</v>
      </c>
      <c r="R32" t="e">
        <f t="shared" si="8"/>
        <v>#DIV/0!</v>
      </c>
      <c r="S32" t="e">
        <f t="shared" si="8"/>
        <v>#DIV/0!</v>
      </c>
      <c r="T32" s="40" t="e">
        <f t="shared" si="8"/>
        <v>#DIV/0!</v>
      </c>
      <c r="U32">
        <f t="shared" si="9"/>
        <v>0.91666666666666663</v>
      </c>
    </row>
    <row r="33" spans="11:30" x14ac:dyDescent="0.35">
      <c r="K33" s="19" t="s">
        <v>42</v>
      </c>
      <c r="L33" s="20">
        <f>I24+1</f>
        <v>4</v>
      </c>
      <c r="N33" t="e">
        <f ca="1">FTEXT(L33)</f>
        <v>#NAME?</v>
      </c>
      <c r="P33">
        <f t="shared" si="7"/>
        <v>3</v>
      </c>
      <c r="Q33" s="39" t="e">
        <f t="shared" si="8"/>
        <v>#DIV/0!</v>
      </c>
      <c r="R33" t="e">
        <f t="shared" si="8"/>
        <v>#DIV/0!</v>
      </c>
      <c r="S33" t="e">
        <f t="shared" si="8"/>
        <v>#DIV/0!</v>
      </c>
      <c r="T33" s="40" t="e">
        <f t="shared" si="8"/>
        <v>#DIV/0!</v>
      </c>
      <c r="U33">
        <f t="shared" si="9"/>
        <v>8.6666666666666661</v>
      </c>
      <c r="AA33" t="s">
        <v>97</v>
      </c>
    </row>
    <row r="34" spans="11:30" x14ac:dyDescent="0.35">
      <c r="K34" t="s">
        <v>83</v>
      </c>
      <c r="L34" s="20">
        <f>L32*(1+(L33-1)*I29)-L33*I29</f>
        <v>22.553775743707089</v>
      </c>
      <c r="N34" t="e">
        <f ca="1">FTEXT(L34)</f>
        <v>#NAME?</v>
      </c>
      <c r="P34">
        <f t="shared" si="7"/>
        <v>4</v>
      </c>
      <c r="Q34" s="39" t="e">
        <f t="shared" si="8"/>
        <v>#DIV/0!</v>
      </c>
      <c r="R34" t="e">
        <f t="shared" si="8"/>
        <v>#DIV/0!</v>
      </c>
      <c r="S34" t="e">
        <f t="shared" si="8"/>
        <v>#DIV/0!</v>
      </c>
      <c r="T34" s="40" t="e">
        <f t="shared" si="8"/>
        <v>#DIV/0!</v>
      </c>
      <c r="U34">
        <f t="shared" si="9"/>
        <v>2</v>
      </c>
    </row>
    <row r="35" spans="11:30" x14ac:dyDescent="0.35">
      <c r="K35" t="s">
        <v>85</v>
      </c>
      <c r="L35" s="20">
        <f>K24</f>
        <v>1.0730593607305936</v>
      </c>
      <c r="N35" t="e">
        <f ca="1">FTEXT(L35)</f>
        <v>#NAME?</v>
      </c>
      <c r="P35">
        <f t="shared" si="7"/>
        <v>5</v>
      </c>
      <c r="Q35" s="39" t="e">
        <f t="shared" si="8"/>
        <v>#DIV/0!</v>
      </c>
      <c r="R35" t="e">
        <f t="shared" si="8"/>
        <v>#DIV/0!</v>
      </c>
      <c r="S35" t="e">
        <f t="shared" si="8"/>
        <v>#DIV/0!</v>
      </c>
      <c r="T35" s="40" t="e">
        <f t="shared" si="8"/>
        <v>#DIV/0!</v>
      </c>
      <c r="U35">
        <f t="shared" si="9"/>
        <v>0.33333333333333331</v>
      </c>
      <c r="AA35" t="s">
        <v>98</v>
      </c>
      <c r="AB35" s="18" t="e">
        <f ca="1">ICC(B5:E12,2,1)</f>
        <v>#NAME?</v>
      </c>
      <c r="AD35" s="17" t="s">
        <v>99</v>
      </c>
    </row>
    <row r="36" spans="11:30" x14ac:dyDescent="0.35">
      <c r="K36" t="s">
        <v>86</v>
      </c>
      <c r="L36" s="20">
        <f>L33*J24+(L32*L33-L33-L32)*J25</f>
        <v>55.416666666666664</v>
      </c>
      <c r="N36" t="e">
        <f ca="1">FTEXT(L36)</f>
        <v>#NAME?</v>
      </c>
      <c r="P36">
        <f t="shared" si="7"/>
        <v>6</v>
      </c>
      <c r="Q36" s="39" t="e">
        <f t="shared" si="8"/>
        <v>#DIV/0!</v>
      </c>
      <c r="R36" t="e">
        <f t="shared" si="8"/>
        <v>#DIV/0!</v>
      </c>
      <c r="S36" t="e">
        <f t="shared" si="8"/>
        <v>#DIV/0!</v>
      </c>
      <c r="T36" s="40" t="e">
        <f t="shared" si="8"/>
        <v>#DIV/0!</v>
      </c>
      <c r="U36">
        <f t="shared" si="9"/>
        <v>4.666666666666667</v>
      </c>
      <c r="AA36" t="s">
        <v>95</v>
      </c>
      <c r="AB36" s="22" t="e">
        <f ca="1">ICC(B5:E12,2,4)</f>
        <v>#NAME?</v>
      </c>
      <c r="AD36" s="17" t="s">
        <v>100</v>
      </c>
    </row>
    <row r="37" spans="11:30" x14ac:dyDescent="0.35">
      <c r="K37" t="s">
        <v>87</v>
      </c>
      <c r="L37" s="20">
        <f>(L33-1)*(L32-1)*(L33*I29*L35+L34)^2/((L32-1)*(L33*I29*L35)^2+L34^2)</f>
        <v>23.997525280220316</v>
      </c>
      <c r="N37" t="e">
        <f ca="1">FTEXT(L37)</f>
        <v>#NAME?</v>
      </c>
      <c r="P37">
        <f t="shared" si="7"/>
        <v>7</v>
      </c>
      <c r="Q37" s="39" t="e">
        <f t="shared" si="8"/>
        <v>#DIV/0!</v>
      </c>
      <c r="R37" t="e">
        <f t="shared" si="8"/>
        <v>#DIV/0!</v>
      </c>
      <c r="S37" t="e">
        <f t="shared" si="8"/>
        <v>#DIV/0!</v>
      </c>
      <c r="T37" s="40" t="e">
        <f t="shared" si="8"/>
        <v>#DIV/0!</v>
      </c>
      <c r="U37">
        <f t="shared" si="9"/>
        <v>0.91666666666666663</v>
      </c>
    </row>
    <row r="38" spans="11:30" x14ac:dyDescent="0.35">
      <c r="K38" t="s">
        <v>88</v>
      </c>
      <c r="L38" s="20">
        <f>MAX(1,ROUND(L37,0))</f>
        <v>24</v>
      </c>
      <c r="N38" t="e">
        <f ca="1">FTEXT(L38)</f>
        <v>#NAME?</v>
      </c>
      <c r="P38">
        <f t="shared" si="7"/>
        <v>8</v>
      </c>
      <c r="Q38" s="41" t="e">
        <f t="shared" si="8"/>
        <v>#DIV/0!</v>
      </c>
      <c r="R38" s="42" t="e">
        <f t="shared" si="8"/>
        <v>#DIV/0!</v>
      </c>
      <c r="S38" s="42" t="e">
        <f t="shared" si="8"/>
        <v>#DIV/0!</v>
      </c>
      <c r="T38" s="43" t="e">
        <f t="shared" si="8"/>
        <v>#DIV/0!</v>
      </c>
      <c r="U38">
        <f t="shared" si="9"/>
        <v>0.25</v>
      </c>
      <c r="AA38" t="e">
        <f t="array" aca="1" ref="AA38:AB40" ca="1">ICC(B5:E12,2,1,TRUE)</f>
        <v>#NAME?</v>
      </c>
      <c r="AB38" s="18" t="e">
        <f ca="1"/>
        <v>#NAME?</v>
      </c>
      <c r="AD38" t="e">
        <f ca="1">FTEXT(AB38)</f>
        <v>#NAME?</v>
      </c>
    </row>
    <row r="39" spans="11:30" x14ac:dyDescent="0.35">
      <c r="K39" t="s">
        <v>89</v>
      </c>
      <c r="L39" s="20">
        <f>FINV(L31/2,L32-1,L38)</f>
        <v>2.8738081880378892</v>
      </c>
      <c r="N39" t="e">
        <f ca="1">FTEXT(L39)</f>
        <v>#NAME?</v>
      </c>
      <c r="Q39">
        <f>VAR(B5:B12)</f>
        <v>9.5535714285714288</v>
      </c>
      <c r="R39">
        <f>VAR(C5:C12)</f>
        <v>5.9821428571428568</v>
      </c>
      <c r="S39">
        <f>VAR(D5:D12)</f>
        <v>9.3571428571428577</v>
      </c>
      <c r="T39">
        <f>VAR(E5:E12)</f>
        <v>8.8392857142857135</v>
      </c>
      <c r="U39">
        <f>VAR(B5:E12)</f>
        <v>7.85383064516129</v>
      </c>
      <c r="AA39" t="e">
        <f ca="1"/>
        <v>#NAME?</v>
      </c>
      <c r="AB39" s="20" t="e">
        <f ca="1"/>
        <v>#NAME?</v>
      </c>
    </row>
    <row r="40" spans="11:30" x14ac:dyDescent="0.35">
      <c r="K40" t="s">
        <v>91</v>
      </c>
      <c r="L40" s="22">
        <f>FINV(L31/2,L38,L32-1)</f>
        <v>4.4149990650854747</v>
      </c>
      <c r="N40" t="e">
        <f ca="1">FTEXT(L40)</f>
        <v>#NAME?</v>
      </c>
      <c r="AA40" t="e">
        <f ca="1"/>
        <v>#NAME?</v>
      </c>
      <c r="AB40" s="22" t="e">
        <f ca="1"/>
        <v>#NAME?</v>
      </c>
    </row>
    <row r="41" spans="11:30" x14ac:dyDescent="0.35">
      <c r="N41" t="e">
        <f ca="1">FTEXT(L41)</f>
        <v>#NAME?</v>
      </c>
    </row>
    <row r="42" spans="11:30" x14ac:dyDescent="0.35">
      <c r="K42" t="s">
        <v>54</v>
      </c>
      <c r="L42" s="18">
        <f>L32*(J23-L39*J25)/(L39*L36+L32*J23)</f>
        <v>0.43449727446116848</v>
      </c>
      <c r="N42" t="e">
        <f ca="1">FTEXT(L42)</f>
        <v>#NAME?</v>
      </c>
      <c r="AA42" t="e">
        <f t="array" aca="1" ref="AA42:AB44" ca="1">ICC(B5:E12,2,4,TRUE)</f>
        <v>#NAME?</v>
      </c>
      <c r="AB42" s="18" t="e">
        <f ca="1"/>
        <v>#NAME?</v>
      </c>
      <c r="AD42" t="e">
        <f ca="1">FTEXT(AB42)</f>
        <v>#NAME?</v>
      </c>
    </row>
    <row r="43" spans="11:30" x14ac:dyDescent="0.35">
      <c r="K43" t="s">
        <v>55</v>
      </c>
      <c r="L43" s="22">
        <f>L32*(L40*J23-J25)/(L36+L32*L40*J23)</f>
        <v>0.92670818441751546</v>
      </c>
      <c r="N43" t="e">
        <f ca="1">FTEXT(L43)</f>
        <v>#NAME?</v>
      </c>
      <c r="AA43" t="e">
        <f ca="1"/>
        <v>#NAME?</v>
      </c>
      <c r="AB43" s="20" t="e">
        <f ca="1"/>
        <v>#NAME?</v>
      </c>
    </row>
    <row r="44" spans="11:30" x14ac:dyDescent="0.35">
      <c r="AA44" t="e">
        <f ca="1"/>
        <v>#NAME?</v>
      </c>
      <c r="AB44" s="22" t="e">
        <f ca="1"/>
        <v>#NAME?</v>
      </c>
    </row>
    <row r="49" spans="30:30" x14ac:dyDescent="0.35">
      <c r="AD49" s="17" t="e">
        <f ca="1">FTEXT(AB49)</f>
        <v>#NAME?</v>
      </c>
    </row>
    <row r="50" spans="30:30" x14ac:dyDescent="0.35">
      <c r="AD50" s="17" t="e">
        <f ca="1">FTEXT(AB50)</f>
        <v>#NAME?</v>
      </c>
    </row>
    <row r="51" spans="30:30" x14ac:dyDescent="0.35">
      <c r="AD51" s="17" t="e">
        <f ca="1">FTEXT(AB51)</f>
        <v>#NAME?</v>
      </c>
    </row>
    <row r="52" spans="30:30" x14ac:dyDescent="0.35">
      <c r="AD52" s="17" t="e">
        <f ca="1">FTEXT(AB52)</f>
        <v>#NAME?</v>
      </c>
    </row>
    <row r="53" spans="30:30" x14ac:dyDescent="0.35">
      <c r="AD53" s="17" t="e">
        <f ca="1">FTEXT(AB53)</f>
        <v>#NAME?</v>
      </c>
    </row>
    <row r="54" spans="30:30" x14ac:dyDescent="0.35">
      <c r="AD54" s="17" t="e">
        <f ca="1">FTEXT(AB54)</f>
        <v>#NAME?</v>
      </c>
    </row>
    <row r="55" spans="30:30" x14ac:dyDescent="0.35">
      <c r="AD55" s="17" t="e">
        <f ca="1">FTEXT(AB55)</f>
        <v>#NAME?</v>
      </c>
    </row>
    <row r="56" spans="30:30" x14ac:dyDescent="0.35">
      <c r="AD56" s="17" t="e">
        <f ca="1">FTEXT(AB56)</f>
        <v>#NAME?</v>
      </c>
    </row>
    <row r="57" spans="30:30" x14ac:dyDescent="0.35">
      <c r="AD57" s="17" t="e">
        <f ca="1">FTEXT(AB57)</f>
        <v>#NAME?</v>
      </c>
    </row>
    <row r="58" spans="30:30" x14ac:dyDescent="0.35">
      <c r="AD58" s="17"/>
    </row>
    <row r="59" spans="30:30" x14ac:dyDescent="0.35">
      <c r="AD59" s="17" t="e">
        <f ca="1">FTEXT(AB59)</f>
        <v>#NAME?</v>
      </c>
    </row>
    <row r="60" spans="30:30" x14ac:dyDescent="0.35">
      <c r="AD60" s="17" t="e">
        <f ca="1">FTEXT(AB60)</f>
        <v>#NAME?</v>
      </c>
    </row>
  </sheetData>
  <mergeCells count="1"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99A5-6DA8-4AF0-9800-2C76303E48BA}">
  <sheetPr codeName="Sheet283"/>
  <dimension ref="A1:AD58"/>
  <sheetViews>
    <sheetView workbookViewId="0"/>
  </sheetViews>
  <sheetFormatPr defaultRowHeight="14.5" x14ac:dyDescent="0.35"/>
  <cols>
    <col min="1" max="1" width="7.81640625" customWidth="1"/>
    <col min="2" max="6" width="5.81640625" customWidth="1"/>
    <col min="7" max="7" width="18.26953125" customWidth="1"/>
    <col min="29" max="29" width="8.7265625" customWidth="1"/>
    <col min="30" max="30" width="76.7265625" customWidth="1"/>
  </cols>
  <sheetData>
    <row r="1" spans="1:30" x14ac:dyDescent="0.35">
      <c r="A1" s="1" t="s">
        <v>101</v>
      </c>
      <c r="P1" t="s">
        <v>102</v>
      </c>
    </row>
    <row r="3" spans="1:30" x14ac:dyDescent="0.35">
      <c r="B3" s="2" t="s">
        <v>4</v>
      </c>
      <c r="C3" s="2"/>
      <c r="D3" s="2"/>
      <c r="E3" s="2"/>
      <c r="G3" t="s">
        <v>67</v>
      </c>
      <c r="P3" t="s">
        <v>68</v>
      </c>
      <c r="W3" t="s">
        <v>69</v>
      </c>
    </row>
    <row r="4" spans="1:30" ht="15" thickBot="1" x14ac:dyDescent="0.4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</row>
    <row r="5" spans="1:30" ht="15" thickBot="1" x14ac:dyDescent="0.4">
      <c r="A5" s="3">
        <v>1</v>
      </c>
      <c r="B5" s="6">
        <v>1</v>
      </c>
      <c r="C5" s="7">
        <v>2</v>
      </c>
      <c r="D5" s="7">
        <v>0</v>
      </c>
      <c r="E5" s="8">
        <v>1</v>
      </c>
      <c r="G5" s="4" t="s">
        <v>5</v>
      </c>
      <c r="H5" s="4" t="s">
        <v>14</v>
      </c>
      <c r="I5" s="4" t="s">
        <v>15</v>
      </c>
      <c r="J5" s="4" t="s">
        <v>16</v>
      </c>
      <c r="K5" s="4" t="s">
        <v>17</v>
      </c>
      <c r="P5" t="s">
        <v>71</v>
      </c>
      <c r="W5" t="s">
        <v>26</v>
      </c>
      <c r="AA5" s="3" t="s">
        <v>7</v>
      </c>
      <c r="AB5" s="3">
        <v>0.05</v>
      </c>
    </row>
    <row r="6" spans="1:30" ht="15" thickTop="1" x14ac:dyDescent="0.35">
      <c r="A6" s="3">
        <f>A5+1</f>
        <v>2</v>
      </c>
      <c r="B6" s="9">
        <v>1</v>
      </c>
      <c r="C6" s="3">
        <v>3</v>
      </c>
      <c r="D6" s="3">
        <v>3</v>
      </c>
      <c r="E6" s="10">
        <v>2</v>
      </c>
      <c r="G6">
        <v>1</v>
      </c>
      <c r="H6">
        <v>4</v>
      </c>
      <c r="I6">
        <v>4</v>
      </c>
      <c r="J6">
        <v>1</v>
      </c>
      <c r="K6">
        <v>0.66666666666666663</v>
      </c>
      <c r="Q6" s="3" t="str">
        <f>B4</f>
        <v>A</v>
      </c>
      <c r="R6" s="3" t="str">
        <f>C4</f>
        <v>B</v>
      </c>
      <c r="S6" s="3" t="str">
        <f>D4</f>
        <v>C</v>
      </c>
      <c r="T6" s="3" t="str">
        <f>E4</f>
        <v>D</v>
      </c>
      <c r="W6" s="5"/>
      <c r="X6" s="5" t="s">
        <v>19</v>
      </c>
      <c r="Y6" s="5" t="s">
        <v>28</v>
      </c>
      <c r="Z6" s="5" t="s">
        <v>29</v>
      </c>
      <c r="AA6" s="5" t="s">
        <v>30</v>
      </c>
      <c r="AB6" s="5" t="s">
        <v>73</v>
      </c>
      <c r="AC6" s="5" t="s">
        <v>74</v>
      </c>
    </row>
    <row r="7" spans="1:30" x14ac:dyDescent="0.35">
      <c r="A7" s="3">
        <f t="shared" ref="A7:A12" si="0">A6+1</f>
        <v>3</v>
      </c>
      <c r="B7" s="9">
        <v>3</v>
      </c>
      <c r="C7" s="3">
        <v>8</v>
      </c>
      <c r="D7" s="3">
        <v>1</v>
      </c>
      <c r="E7" s="10">
        <v>4</v>
      </c>
      <c r="G7">
        <v>2</v>
      </c>
      <c r="H7">
        <v>4</v>
      </c>
      <c r="I7">
        <v>9</v>
      </c>
      <c r="J7">
        <v>2.25</v>
      </c>
      <c r="K7">
        <v>0.91666666666666663</v>
      </c>
      <c r="P7">
        <f t="shared" ref="P7:P14" si="1">A5</f>
        <v>1</v>
      </c>
      <c r="Q7" s="35">
        <f t="shared" ref="Q7:T14" si="2">COUNT(B5)</f>
        <v>1</v>
      </c>
      <c r="R7" s="36">
        <f t="shared" si="2"/>
        <v>1</v>
      </c>
      <c r="S7" s="36">
        <f t="shared" si="2"/>
        <v>1</v>
      </c>
      <c r="T7" s="37">
        <f t="shared" si="2"/>
        <v>1</v>
      </c>
      <c r="U7">
        <f t="shared" ref="U7:U14" si="3">COUNT(B5:E5)</f>
        <v>4</v>
      </c>
      <c r="W7" t="s">
        <v>76</v>
      </c>
      <c r="X7">
        <f>DEVSQ(U19:U26)*U7</f>
        <v>188.21875</v>
      </c>
      <c r="Y7">
        <f>COUNT(U19:U26)-1</f>
        <v>7</v>
      </c>
      <c r="Z7">
        <f>X7/Y7</f>
        <v>26.888392857142858</v>
      </c>
      <c r="AA7">
        <f>Z7/Z9</f>
        <v>11.7866927592955</v>
      </c>
      <c r="AB7">
        <f>FDIST(AA7,Y7,Y9)</f>
        <v>5.0257154640603623E-6</v>
      </c>
      <c r="AC7" s="3" t="str">
        <f>IF(AB7&lt;AB5,"yes","no")</f>
        <v>yes</v>
      </c>
    </row>
    <row r="8" spans="1:30" x14ac:dyDescent="0.35">
      <c r="A8" s="3">
        <f t="shared" si="0"/>
        <v>4</v>
      </c>
      <c r="B8" s="9">
        <v>6</v>
      </c>
      <c r="C8" s="3">
        <v>4</v>
      </c>
      <c r="D8" s="3">
        <v>3</v>
      </c>
      <c r="E8" s="10">
        <v>3</v>
      </c>
      <c r="G8">
        <v>3</v>
      </c>
      <c r="H8">
        <v>4</v>
      </c>
      <c r="I8">
        <v>16</v>
      </c>
      <c r="J8">
        <v>4</v>
      </c>
      <c r="K8">
        <v>8.6666666666666661</v>
      </c>
      <c r="P8">
        <f t="shared" si="1"/>
        <v>2</v>
      </c>
      <c r="Q8" s="39">
        <f t="shared" si="2"/>
        <v>1</v>
      </c>
      <c r="R8">
        <f t="shared" si="2"/>
        <v>1</v>
      </c>
      <c r="S8">
        <f t="shared" si="2"/>
        <v>1</v>
      </c>
      <c r="T8" s="40">
        <f t="shared" si="2"/>
        <v>1</v>
      </c>
      <c r="U8">
        <f t="shared" si="3"/>
        <v>4</v>
      </c>
      <c r="W8" t="s">
        <v>77</v>
      </c>
      <c r="X8">
        <f>DEVSQ(Q27:T27)*Q15</f>
        <v>7.34375</v>
      </c>
      <c r="Y8">
        <f>COUNT(Q27:T27)-1</f>
        <v>3</v>
      </c>
      <c r="Z8">
        <f>X8/Y8</f>
        <v>2.4479166666666665</v>
      </c>
      <c r="AA8">
        <f>Z8/Z9</f>
        <v>1.0730593607305936</v>
      </c>
      <c r="AB8">
        <f>FDIST(AA8,Y8,Y9)</f>
        <v>0.3818394427683251</v>
      </c>
      <c r="AC8" s="3" t="str">
        <f>IF(AB8&lt;AB5,"yes","no")</f>
        <v>no</v>
      </c>
    </row>
    <row r="9" spans="1:30" x14ac:dyDescent="0.35">
      <c r="A9" s="3">
        <f t="shared" si="0"/>
        <v>5</v>
      </c>
      <c r="B9" s="34">
        <v>6</v>
      </c>
      <c r="C9" s="3">
        <v>5</v>
      </c>
      <c r="D9" s="3">
        <v>5</v>
      </c>
      <c r="E9" s="10">
        <v>6</v>
      </c>
      <c r="G9">
        <v>4</v>
      </c>
      <c r="H9">
        <v>4</v>
      </c>
      <c r="I9">
        <v>16</v>
      </c>
      <c r="J9">
        <v>4</v>
      </c>
      <c r="K9">
        <v>2</v>
      </c>
      <c r="P9">
        <f t="shared" si="1"/>
        <v>3</v>
      </c>
      <c r="Q9" s="39">
        <f t="shared" si="2"/>
        <v>1</v>
      </c>
      <c r="R9">
        <f t="shared" si="2"/>
        <v>1</v>
      </c>
      <c r="S9">
        <f t="shared" si="2"/>
        <v>1</v>
      </c>
      <c r="T9" s="40">
        <f t="shared" si="2"/>
        <v>1</v>
      </c>
      <c r="U9">
        <f t="shared" si="3"/>
        <v>4</v>
      </c>
      <c r="W9" t="s">
        <v>78</v>
      </c>
      <c r="X9">
        <f>X11-X7-X8</f>
        <v>47.90625</v>
      </c>
      <c r="Y9">
        <f>Y8*Y7</f>
        <v>21</v>
      </c>
      <c r="Z9">
        <f>X9/Y9</f>
        <v>2.28125</v>
      </c>
    </row>
    <row r="10" spans="1:30" x14ac:dyDescent="0.35">
      <c r="A10" s="3">
        <f t="shared" si="0"/>
        <v>6</v>
      </c>
      <c r="B10" s="34">
        <v>7</v>
      </c>
      <c r="C10" s="3">
        <v>5</v>
      </c>
      <c r="D10" s="3">
        <v>6</v>
      </c>
      <c r="E10" s="10">
        <v>2</v>
      </c>
      <c r="G10">
        <v>5</v>
      </c>
      <c r="H10">
        <v>4</v>
      </c>
      <c r="I10">
        <v>22</v>
      </c>
      <c r="J10">
        <v>5.5</v>
      </c>
      <c r="K10">
        <v>0.33333333333333331</v>
      </c>
      <c r="P10">
        <f t="shared" si="1"/>
        <v>4</v>
      </c>
      <c r="Q10" s="39">
        <f t="shared" si="2"/>
        <v>1</v>
      </c>
      <c r="R10">
        <f t="shared" si="2"/>
        <v>1</v>
      </c>
      <c r="S10">
        <f t="shared" si="2"/>
        <v>1</v>
      </c>
      <c r="T10" s="40">
        <f t="shared" si="2"/>
        <v>1</v>
      </c>
      <c r="U10">
        <f t="shared" si="3"/>
        <v>4</v>
      </c>
    </row>
    <row r="11" spans="1:30" x14ac:dyDescent="0.35">
      <c r="A11" s="3">
        <f t="shared" si="0"/>
        <v>7</v>
      </c>
      <c r="B11" s="34">
        <v>8</v>
      </c>
      <c r="C11" s="3">
        <v>7</v>
      </c>
      <c r="D11" s="3">
        <v>7</v>
      </c>
      <c r="E11" s="10">
        <v>9</v>
      </c>
      <c r="G11">
        <v>6</v>
      </c>
      <c r="H11">
        <v>4</v>
      </c>
      <c r="I11">
        <v>20</v>
      </c>
      <c r="J11">
        <v>5</v>
      </c>
      <c r="K11">
        <v>4.666666666666667</v>
      </c>
      <c r="P11">
        <f t="shared" si="1"/>
        <v>5</v>
      </c>
      <c r="Q11" s="39">
        <f t="shared" si="2"/>
        <v>1</v>
      </c>
      <c r="R11">
        <f t="shared" si="2"/>
        <v>1</v>
      </c>
      <c r="S11">
        <f t="shared" si="2"/>
        <v>1</v>
      </c>
      <c r="T11" s="40">
        <f t="shared" si="2"/>
        <v>1</v>
      </c>
      <c r="U11">
        <f t="shared" si="3"/>
        <v>4</v>
      </c>
      <c r="W11" s="21" t="s">
        <v>43</v>
      </c>
      <c r="X11" s="21">
        <f>Z11*Y11</f>
        <v>243.46875</v>
      </c>
      <c r="Y11" s="21">
        <f>U15-1</f>
        <v>31</v>
      </c>
      <c r="Z11" s="21">
        <f>U39</f>
        <v>7.85383064516129</v>
      </c>
      <c r="AA11" s="21"/>
      <c r="AB11" s="21"/>
      <c r="AC11" s="21"/>
    </row>
    <row r="12" spans="1:30" x14ac:dyDescent="0.35">
      <c r="A12" s="3">
        <f t="shared" si="0"/>
        <v>8</v>
      </c>
      <c r="B12" s="11">
        <v>9</v>
      </c>
      <c r="C12" s="12">
        <v>9</v>
      </c>
      <c r="D12" s="12">
        <v>9</v>
      </c>
      <c r="E12" s="13">
        <v>8</v>
      </c>
      <c r="G12">
        <v>7</v>
      </c>
      <c r="H12">
        <v>4</v>
      </c>
      <c r="I12">
        <v>31</v>
      </c>
      <c r="J12">
        <v>7.75</v>
      </c>
      <c r="K12">
        <v>0.91666666666666663</v>
      </c>
      <c r="P12">
        <f t="shared" si="1"/>
        <v>6</v>
      </c>
      <c r="Q12" s="39">
        <f t="shared" si="2"/>
        <v>1</v>
      </c>
      <c r="R12">
        <f t="shared" si="2"/>
        <v>1</v>
      </c>
      <c r="S12">
        <f t="shared" si="2"/>
        <v>1</v>
      </c>
      <c r="T12" s="40">
        <f t="shared" si="2"/>
        <v>1</v>
      </c>
      <c r="U12">
        <f t="shared" si="3"/>
        <v>4</v>
      </c>
    </row>
    <row r="13" spans="1:30" x14ac:dyDescent="0.35">
      <c r="G13">
        <v>8</v>
      </c>
      <c r="H13">
        <v>4</v>
      </c>
      <c r="I13">
        <v>35</v>
      </c>
      <c r="J13">
        <v>8.75</v>
      </c>
      <c r="K13">
        <v>0.25</v>
      </c>
      <c r="P13">
        <f t="shared" si="1"/>
        <v>7</v>
      </c>
      <c r="Q13" s="39">
        <f t="shared" si="2"/>
        <v>1</v>
      </c>
      <c r="R13">
        <f t="shared" si="2"/>
        <v>1</v>
      </c>
      <c r="S13">
        <f t="shared" si="2"/>
        <v>1</v>
      </c>
      <c r="T13" s="40">
        <f t="shared" si="2"/>
        <v>1</v>
      </c>
      <c r="U13">
        <f t="shared" si="3"/>
        <v>4</v>
      </c>
      <c r="W13" t="s">
        <v>24</v>
      </c>
      <c r="Y13" s="15">
        <f>(Z7-Z9)/(Z7+Y8*Z9+(Y8+1)*(Z8-Z9)/(Y7+1))</f>
        <v>0.72768878718535457</v>
      </c>
    </row>
    <row r="14" spans="1:30" x14ac:dyDescent="0.35">
      <c r="P14">
        <f t="shared" si="1"/>
        <v>8</v>
      </c>
      <c r="Q14" s="41">
        <f t="shared" si="2"/>
        <v>1</v>
      </c>
      <c r="R14" s="42">
        <f t="shared" si="2"/>
        <v>1</v>
      </c>
      <c r="S14" s="42">
        <f t="shared" si="2"/>
        <v>1</v>
      </c>
      <c r="T14" s="43">
        <f t="shared" si="2"/>
        <v>1</v>
      </c>
      <c r="U14">
        <f t="shared" si="3"/>
        <v>4</v>
      </c>
    </row>
    <row r="15" spans="1:30" x14ac:dyDescent="0.35">
      <c r="G15" t="s">
        <v>9</v>
      </c>
      <c r="H15">
        <v>8</v>
      </c>
      <c r="I15">
        <v>41</v>
      </c>
      <c r="J15">
        <v>5.125</v>
      </c>
      <c r="K15">
        <v>9.5535714285714288</v>
      </c>
      <c r="Q15">
        <f>COUNT(B5:B12)</f>
        <v>8</v>
      </c>
      <c r="R15">
        <f>COUNT(C5:C12)</f>
        <v>8</v>
      </c>
      <c r="S15">
        <f>COUNT(D5:D12)</f>
        <v>8</v>
      </c>
      <c r="T15">
        <f>COUNT(E5:E12)</f>
        <v>8</v>
      </c>
      <c r="U15">
        <f>COUNT(B5:E12)</f>
        <v>32</v>
      </c>
      <c r="AA15" t="s">
        <v>46</v>
      </c>
      <c r="AB15" s="18">
        <v>0.05</v>
      </c>
    </row>
    <row r="16" spans="1:30" x14ac:dyDescent="0.35">
      <c r="G16" t="s">
        <v>10</v>
      </c>
      <c r="H16">
        <v>8</v>
      </c>
      <c r="I16">
        <v>43</v>
      </c>
      <c r="J16">
        <v>5.375</v>
      </c>
      <c r="K16">
        <v>5.9821428571428568</v>
      </c>
      <c r="W16" t="s">
        <v>79</v>
      </c>
      <c r="Y16" s="18">
        <f>Z7-Z9</f>
        <v>24.607142857142858</v>
      </c>
      <c r="AA16" s="19" t="s">
        <v>47</v>
      </c>
      <c r="AB16" s="20">
        <f>Y7+1</f>
        <v>8</v>
      </c>
      <c r="AD16" s="17" t="s">
        <v>103</v>
      </c>
    </row>
    <row r="17" spans="7:30" x14ac:dyDescent="0.35">
      <c r="G17" t="s">
        <v>11</v>
      </c>
      <c r="H17">
        <v>8</v>
      </c>
      <c r="I17">
        <v>34</v>
      </c>
      <c r="J17">
        <v>4.25</v>
      </c>
      <c r="K17">
        <v>9.3571428571428577</v>
      </c>
      <c r="P17" t="s">
        <v>80</v>
      </c>
      <c r="W17" t="s">
        <v>81</v>
      </c>
      <c r="Y17" s="20">
        <f>(Y8+1)*Z9</f>
        <v>9.125</v>
      </c>
      <c r="AA17" s="19" t="s">
        <v>42</v>
      </c>
      <c r="AB17" s="20">
        <f>Y8+1</f>
        <v>4</v>
      </c>
      <c r="AD17" s="17" t="s">
        <v>104</v>
      </c>
    </row>
    <row r="18" spans="7:30" ht="15" thickBot="1" x14ac:dyDescent="0.4">
      <c r="G18" s="14" t="s">
        <v>12</v>
      </c>
      <c r="H18" s="14">
        <v>8</v>
      </c>
      <c r="I18" s="14">
        <v>35</v>
      </c>
      <c r="J18" s="14">
        <v>4.375</v>
      </c>
      <c r="K18" s="14">
        <v>8.8392857142857135</v>
      </c>
      <c r="Q18" s="3" t="str">
        <f>B4</f>
        <v>A</v>
      </c>
      <c r="R18" s="3" t="str">
        <f>C4</f>
        <v>B</v>
      </c>
      <c r="S18" s="3" t="str">
        <f>D4</f>
        <v>C</v>
      </c>
      <c r="T18" s="3" t="str">
        <f>E4</f>
        <v>D</v>
      </c>
      <c r="W18" t="s">
        <v>82</v>
      </c>
      <c r="Y18" s="20">
        <f>(Y8+1)*(Z8-Z9)/(Y7+1)</f>
        <v>8.3333333333333259E-2</v>
      </c>
      <c r="AA18" t="s">
        <v>83</v>
      </c>
      <c r="AB18" s="20">
        <f>AB16*(1+(AB17-1)*Y13)-AB17*Y13</f>
        <v>22.553775743707089</v>
      </c>
      <c r="AD18" s="17" t="s">
        <v>105</v>
      </c>
    </row>
    <row r="19" spans="7:30" x14ac:dyDescent="0.35">
      <c r="P19">
        <f t="shared" ref="P19:P26" si="4">A5</f>
        <v>1</v>
      </c>
      <c r="Q19" s="35">
        <f t="shared" ref="Q19:T26" si="5">AVERAGE(B5)</f>
        <v>1</v>
      </c>
      <c r="R19" s="36">
        <f t="shared" si="5"/>
        <v>2</v>
      </c>
      <c r="S19" s="36">
        <f t="shared" si="5"/>
        <v>0</v>
      </c>
      <c r="T19" s="37">
        <f t="shared" si="5"/>
        <v>1</v>
      </c>
      <c r="U19">
        <f t="shared" ref="U19:U26" si="6">AVERAGE(B5:E5)</f>
        <v>1</v>
      </c>
      <c r="W19" t="s">
        <v>84</v>
      </c>
      <c r="Y19" s="20">
        <f>SUM(Y16:Y18)</f>
        <v>33.815476190476197</v>
      </c>
      <c r="AA19" t="s">
        <v>85</v>
      </c>
      <c r="AB19" s="20">
        <f>AA8</f>
        <v>1.0730593607305936</v>
      </c>
      <c r="AD19" s="17" t="s">
        <v>106</v>
      </c>
    </row>
    <row r="20" spans="7:30" x14ac:dyDescent="0.35">
      <c r="P20">
        <f t="shared" si="4"/>
        <v>2</v>
      </c>
      <c r="Q20" s="39">
        <f t="shared" si="5"/>
        <v>1</v>
      </c>
      <c r="R20">
        <f t="shared" si="5"/>
        <v>3</v>
      </c>
      <c r="S20">
        <f t="shared" si="5"/>
        <v>3</v>
      </c>
      <c r="T20" s="40">
        <f t="shared" si="5"/>
        <v>2</v>
      </c>
      <c r="U20">
        <f t="shared" si="6"/>
        <v>2.25</v>
      </c>
      <c r="W20" t="s">
        <v>24</v>
      </c>
      <c r="Y20" s="22">
        <f>Y16/Y19</f>
        <v>0.72768878718535457</v>
      </c>
      <c r="AA20" t="s">
        <v>86</v>
      </c>
      <c r="AB20" s="20">
        <f>AB17*Z8+(AB16*AB17-AB17-AB16)*Z9</f>
        <v>55.416666666666664</v>
      </c>
      <c r="AD20" s="17" t="s">
        <v>107</v>
      </c>
    </row>
    <row r="21" spans="7:30" ht="15" thickBot="1" x14ac:dyDescent="0.4">
      <c r="G21" t="s">
        <v>26</v>
      </c>
      <c r="P21">
        <f t="shared" si="4"/>
        <v>3</v>
      </c>
      <c r="Q21" s="39">
        <f t="shared" si="5"/>
        <v>3</v>
      </c>
      <c r="R21">
        <f t="shared" si="5"/>
        <v>8</v>
      </c>
      <c r="S21">
        <f t="shared" si="5"/>
        <v>1</v>
      </c>
      <c r="T21" s="40">
        <f t="shared" si="5"/>
        <v>4</v>
      </c>
      <c r="U21">
        <f t="shared" si="6"/>
        <v>4</v>
      </c>
      <c r="AA21" t="s">
        <v>87</v>
      </c>
      <c r="AB21" s="20">
        <f>(AB17-1)*(AB16-1)*(AB17*Y13*AB19+AB18)^2/((AB16-1)*(AB17*Y13*AB19)^2+AB18^2)</f>
        <v>23.997525280220316</v>
      </c>
      <c r="AD21" s="17" t="s">
        <v>108</v>
      </c>
    </row>
    <row r="22" spans="7:30" x14ac:dyDescent="0.35">
      <c r="G22" s="4" t="s">
        <v>35</v>
      </c>
      <c r="H22" s="4" t="s">
        <v>19</v>
      </c>
      <c r="I22" s="4" t="s">
        <v>28</v>
      </c>
      <c r="J22" s="4" t="s">
        <v>29</v>
      </c>
      <c r="K22" s="4" t="s">
        <v>30</v>
      </c>
      <c r="L22" s="4" t="s">
        <v>36</v>
      </c>
      <c r="M22" s="4" t="s">
        <v>37</v>
      </c>
      <c r="P22">
        <f t="shared" si="4"/>
        <v>4</v>
      </c>
      <c r="Q22" s="39">
        <f t="shared" si="5"/>
        <v>6</v>
      </c>
      <c r="R22">
        <f t="shared" si="5"/>
        <v>4</v>
      </c>
      <c r="S22">
        <f t="shared" si="5"/>
        <v>3</v>
      </c>
      <c r="T22" s="40">
        <f t="shared" si="5"/>
        <v>3</v>
      </c>
      <c r="U22">
        <f t="shared" si="6"/>
        <v>4</v>
      </c>
      <c r="AA22" t="s">
        <v>88</v>
      </c>
      <c r="AB22" s="20">
        <f>MAX(1,ROUND(AB21,0))</f>
        <v>24</v>
      </c>
      <c r="AD22" s="17" t="s">
        <v>109</v>
      </c>
    </row>
    <row r="23" spans="7:30" x14ac:dyDescent="0.35">
      <c r="G23" t="s">
        <v>76</v>
      </c>
      <c r="H23">
        <v>188.21875</v>
      </c>
      <c r="I23">
        <v>7</v>
      </c>
      <c r="J23">
        <v>26.888392857142858</v>
      </c>
      <c r="K23">
        <v>11.7866927592955</v>
      </c>
      <c r="L23">
        <v>5.0257154640603623E-6</v>
      </c>
      <c r="M23">
        <v>2.487577703722041</v>
      </c>
      <c r="P23">
        <f t="shared" si="4"/>
        <v>5</v>
      </c>
      <c r="Q23" s="39">
        <f t="shared" si="5"/>
        <v>6</v>
      </c>
      <c r="R23">
        <f t="shared" si="5"/>
        <v>5</v>
      </c>
      <c r="S23">
        <f t="shared" si="5"/>
        <v>5</v>
      </c>
      <c r="T23" s="40">
        <f t="shared" si="5"/>
        <v>6</v>
      </c>
      <c r="U23">
        <f t="shared" si="6"/>
        <v>5.5</v>
      </c>
      <c r="AA23" t="s">
        <v>89</v>
      </c>
      <c r="AB23" s="20">
        <f>FINV(AB15/2,AB16-1,AB22)</f>
        <v>2.8738081880378892</v>
      </c>
      <c r="AD23" s="17" t="s">
        <v>110</v>
      </c>
    </row>
    <row r="24" spans="7:30" x14ac:dyDescent="0.35">
      <c r="G24" t="s">
        <v>77</v>
      </c>
      <c r="H24">
        <v>7.34375</v>
      </c>
      <c r="I24">
        <v>3</v>
      </c>
      <c r="J24">
        <v>2.4479166666666665</v>
      </c>
      <c r="K24">
        <v>1.0730593607305936</v>
      </c>
      <c r="L24">
        <v>0.3818394427683251</v>
      </c>
      <c r="M24">
        <v>3.0724669863968779</v>
      </c>
      <c r="P24">
        <f t="shared" si="4"/>
        <v>6</v>
      </c>
      <c r="Q24" s="39">
        <f t="shared" si="5"/>
        <v>7</v>
      </c>
      <c r="R24">
        <f t="shared" si="5"/>
        <v>5</v>
      </c>
      <c r="S24">
        <f t="shared" si="5"/>
        <v>6</v>
      </c>
      <c r="T24" s="40">
        <f t="shared" si="5"/>
        <v>2</v>
      </c>
      <c r="U24">
        <f t="shared" si="6"/>
        <v>5</v>
      </c>
      <c r="AA24" t="s">
        <v>91</v>
      </c>
      <c r="AB24" s="22">
        <f>FINV(AB15/2,AB23,AB16-1)</f>
        <v>6.5415202970956496</v>
      </c>
      <c r="AD24" s="17" t="s">
        <v>111</v>
      </c>
    </row>
    <row r="25" spans="7:30" x14ac:dyDescent="0.35">
      <c r="G25" t="s">
        <v>78</v>
      </c>
      <c r="H25">
        <v>47.90625</v>
      </c>
      <c r="I25">
        <v>21</v>
      </c>
      <c r="J25">
        <v>2.28125</v>
      </c>
      <c r="P25">
        <f t="shared" si="4"/>
        <v>7</v>
      </c>
      <c r="Q25" s="39">
        <f t="shared" si="5"/>
        <v>8</v>
      </c>
      <c r="R25">
        <f t="shared" si="5"/>
        <v>7</v>
      </c>
      <c r="S25">
        <f t="shared" si="5"/>
        <v>7</v>
      </c>
      <c r="T25" s="40">
        <f t="shared" si="5"/>
        <v>9</v>
      </c>
      <c r="U25">
        <f t="shared" si="6"/>
        <v>7.75</v>
      </c>
    </row>
    <row r="26" spans="7:30" x14ac:dyDescent="0.35">
      <c r="P26">
        <f t="shared" si="4"/>
        <v>8</v>
      </c>
      <c r="Q26" s="41">
        <f t="shared" si="5"/>
        <v>9</v>
      </c>
      <c r="R26" s="42">
        <f t="shared" si="5"/>
        <v>9</v>
      </c>
      <c r="S26" s="42">
        <f t="shared" si="5"/>
        <v>9</v>
      </c>
      <c r="T26" s="43">
        <f t="shared" si="5"/>
        <v>8</v>
      </c>
      <c r="U26">
        <f t="shared" si="6"/>
        <v>8.75</v>
      </c>
      <c r="AA26" t="s">
        <v>54</v>
      </c>
      <c r="AB26" s="18">
        <f>AB16*(Z7-AB23*Z9)/(AB21+AB23*AB20+AB16*Z7)</f>
        <v>0.40832291193154907</v>
      </c>
      <c r="AD26" s="17" t="s">
        <v>112</v>
      </c>
    </row>
    <row r="27" spans="7:30" ht="15" thickBot="1" x14ac:dyDescent="0.4">
      <c r="G27" s="14" t="s">
        <v>43</v>
      </c>
      <c r="H27" s="14">
        <v>243.46875</v>
      </c>
      <c r="I27" s="14">
        <v>31</v>
      </c>
      <c r="J27" s="14"/>
      <c r="K27" s="14"/>
      <c r="L27" s="14"/>
      <c r="M27" s="14"/>
      <c r="Q27">
        <f>AVERAGE(B5:B12)</f>
        <v>5.125</v>
      </c>
      <c r="R27">
        <f>AVERAGE(C5:C12)</f>
        <v>5.375</v>
      </c>
      <c r="S27">
        <f>AVERAGE(D5:D12)</f>
        <v>4.25</v>
      </c>
      <c r="T27">
        <f>AVERAGE(E5:E12)</f>
        <v>4.375</v>
      </c>
      <c r="U27">
        <f>AVERAGE(B5:E12)</f>
        <v>4.78125</v>
      </c>
      <c r="AA27" t="s">
        <v>55</v>
      </c>
      <c r="AB27" s="22">
        <f>AB16*(AB24*Z7-Z9)/(AB20+AB16*AB24*Z7)</f>
        <v>0.94963115904175321</v>
      </c>
      <c r="AD27" s="17" t="s">
        <v>113</v>
      </c>
    </row>
    <row r="29" spans="7:30" x14ac:dyDescent="0.35">
      <c r="H29" t="s">
        <v>114</v>
      </c>
      <c r="I29" s="15">
        <f>(J23-J25)/(J23+(I24*J25))</f>
        <v>0.72948650079407085</v>
      </c>
      <c r="K29" s="17" t="e">
        <f ca="1">FTEXT(I29)</f>
        <v>#NAME?</v>
      </c>
      <c r="P29" t="s">
        <v>94</v>
      </c>
    </row>
    <row r="30" spans="7:30" x14ac:dyDescent="0.35">
      <c r="Q30" s="3" t="str">
        <f>B4</f>
        <v>A</v>
      </c>
      <c r="R30" s="3" t="str">
        <f>C4</f>
        <v>B</v>
      </c>
      <c r="S30" s="3" t="str">
        <f>D4</f>
        <v>C</v>
      </c>
      <c r="T30" s="3" t="str">
        <f>E4</f>
        <v>D</v>
      </c>
    </row>
    <row r="31" spans="7:30" x14ac:dyDescent="0.35">
      <c r="H31" t="s">
        <v>46</v>
      </c>
      <c r="I31" s="18">
        <v>0.05</v>
      </c>
      <c r="P31">
        <f t="shared" ref="P31:P38" si="7">A5</f>
        <v>1</v>
      </c>
      <c r="Q31" s="35" t="e">
        <f t="shared" ref="Q31:T38" si="8">VAR(B5)</f>
        <v>#DIV/0!</v>
      </c>
      <c r="R31" s="36" t="e">
        <f t="shared" si="8"/>
        <v>#DIV/0!</v>
      </c>
      <c r="S31" s="36" t="e">
        <f t="shared" si="8"/>
        <v>#DIV/0!</v>
      </c>
      <c r="T31" s="37" t="e">
        <f t="shared" si="8"/>
        <v>#DIV/0!</v>
      </c>
      <c r="U31">
        <f t="shared" ref="U31:U38" si="9">VAR(B5:E5)</f>
        <v>0.66666666666666663</v>
      </c>
    </row>
    <row r="32" spans="7:30" x14ac:dyDescent="0.35">
      <c r="H32" t="s">
        <v>42</v>
      </c>
      <c r="I32" s="20">
        <f>I24+1</f>
        <v>4</v>
      </c>
      <c r="K32" s="17" t="e">
        <f ca="1">FTEXT(I32)</f>
        <v>#NAME?</v>
      </c>
      <c r="P32">
        <f t="shared" si="7"/>
        <v>2</v>
      </c>
      <c r="Q32" s="39" t="e">
        <f t="shared" si="8"/>
        <v>#DIV/0!</v>
      </c>
      <c r="R32" t="e">
        <f t="shared" si="8"/>
        <v>#DIV/0!</v>
      </c>
      <c r="S32" t="e">
        <f t="shared" si="8"/>
        <v>#DIV/0!</v>
      </c>
      <c r="T32" s="40" t="e">
        <f t="shared" si="8"/>
        <v>#DIV/0!</v>
      </c>
      <c r="U32">
        <f t="shared" si="9"/>
        <v>0.91666666666666663</v>
      </c>
    </row>
    <row r="33" spans="8:21" x14ac:dyDescent="0.35">
      <c r="H33" t="s">
        <v>115</v>
      </c>
      <c r="I33" s="20">
        <f>I23</f>
        <v>7</v>
      </c>
      <c r="K33" s="17" t="e">
        <f ca="1">FTEXT(I33)</f>
        <v>#NAME?</v>
      </c>
      <c r="P33">
        <f t="shared" si="7"/>
        <v>3</v>
      </c>
      <c r="Q33" s="39" t="e">
        <f t="shared" si="8"/>
        <v>#DIV/0!</v>
      </c>
      <c r="R33" t="e">
        <f t="shared" si="8"/>
        <v>#DIV/0!</v>
      </c>
      <c r="S33" t="e">
        <f t="shared" si="8"/>
        <v>#DIV/0!</v>
      </c>
      <c r="T33" s="40" t="e">
        <f t="shared" si="8"/>
        <v>#DIV/0!</v>
      </c>
      <c r="U33">
        <f t="shared" si="9"/>
        <v>8.6666666666666661</v>
      </c>
    </row>
    <row r="34" spans="8:21" x14ac:dyDescent="0.35">
      <c r="H34" t="s">
        <v>116</v>
      </c>
      <c r="I34" s="20">
        <f>I25</f>
        <v>21</v>
      </c>
      <c r="K34" s="17" t="e">
        <f ca="1">FTEXT(I34)</f>
        <v>#NAME?</v>
      </c>
      <c r="P34">
        <f t="shared" si="7"/>
        <v>4</v>
      </c>
      <c r="Q34" s="39" t="e">
        <f t="shared" si="8"/>
        <v>#DIV/0!</v>
      </c>
      <c r="R34" t="e">
        <f t="shared" si="8"/>
        <v>#DIV/0!</v>
      </c>
      <c r="S34" t="e">
        <f t="shared" si="8"/>
        <v>#DIV/0!</v>
      </c>
      <c r="T34" s="40" t="e">
        <f t="shared" si="8"/>
        <v>#DIV/0!</v>
      </c>
      <c r="U34">
        <f t="shared" si="9"/>
        <v>2</v>
      </c>
    </row>
    <row r="35" spans="8:21" x14ac:dyDescent="0.35">
      <c r="H35" t="s">
        <v>30</v>
      </c>
      <c r="I35" s="20">
        <f>K23</f>
        <v>11.7866927592955</v>
      </c>
      <c r="K35" s="17" t="e">
        <f ca="1">FTEXT(I35)</f>
        <v>#NAME?</v>
      </c>
      <c r="P35">
        <f t="shared" si="7"/>
        <v>5</v>
      </c>
      <c r="Q35" s="39" t="e">
        <f t="shared" si="8"/>
        <v>#DIV/0!</v>
      </c>
      <c r="R35" t="e">
        <f t="shared" si="8"/>
        <v>#DIV/0!</v>
      </c>
      <c r="S35" t="e">
        <f t="shared" si="8"/>
        <v>#DIV/0!</v>
      </c>
      <c r="T35" s="40" t="e">
        <f t="shared" si="8"/>
        <v>#DIV/0!</v>
      </c>
      <c r="U35">
        <f t="shared" si="9"/>
        <v>0.33333333333333331</v>
      </c>
    </row>
    <row r="36" spans="8:21" x14ac:dyDescent="0.35">
      <c r="H36" t="s">
        <v>52</v>
      </c>
      <c r="I36" s="20">
        <f>I35/FINV(I31/2,I33,I34)</f>
        <v>3.9704144434180857</v>
      </c>
      <c r="K36" s="17" t="e">
        <f ca="1">FTEXT(I36)</f>
        <v>#NAME?</v>
      </c>
      <c r="P36">
        <f t="shared" si="7"/>
        <v>6</v>
      </c>
      <c r="Q36" s="39" t="e">
        <f t="shared" si="8"/>
        <v>#DIV/0!</v>
      </c>
      <c r="R36" t="e">
        <f t="shared" si="8"/>
        <v>#DIV/0!</v>
      </c>
      <c r="S36" t="e">
        <f t="shared" si="8"/>
        <v>#DIV/0!</v>
      </c>
      <c r="T36" s="40" t="e">
        <f t="shared" si="8"/>
        <v>#DIV/0!</v>
      </c>
      <c r="U36">
        <f t="shared" si="9"/>
        <v>4.666666666666667</v>
      </c>
    </row>
    <row r="37" spans="8:21" x14ac:dyDescent="0.35">
      <c r="H37" t="s">
        <v>53</v>
      </c>
      <c r="I37" s="20">
        <f>I35*FINV(I31/2,I34,I33)</f>
        <v>52.47485618420589</v>
      </c>
      <c r="K37" s="17" t="e">
        <f ca="1">FTEXT(I37)</f>
        <v>#NAME?</v>
      </c>
      <c r="P37">
        <f t="shared" si="7"/>
        <v>7</v>
      </c>
      <c r="Q37" s="39" t="e">
        <f t="shared" si="8"/>
        <v>#DIV/0!</v>
      </c>
      <c r="R37" t="e">
        <f t="shared" si="8"/>
        <v>#DIV/0!</v>
      </c>
      <c r="S37" t="e">
        <f t="shared" si="8"/>
        <v>#DIV/0!</v>
      </c>
      <c r="T37" s="40" t="e">
        <f t="shared" si="8"/>
        <v>#DIV/0!</v>
      </c>
      <c r="U37">
        <f t="shared" si="9"/>
        <v>0.91666666666666663</v>
      </c>
    </row>
    <row r="38" spans="8:21" x14ac:dyDescent="0.35">
      <c r="H38" t="s">
        <v>54</v>
      </c>
      <c r="I38" s="20">
        <f>(I36-1)/(I36+I32-1)</f>
        <v>0.42614603012923313</v>
      </c>
      <c r="K38" s="17" t="e">
        <f ca="1">FTEXT(I38)</f>
        <v>#NAME?</v>
      </c>
      <c r="P38">
        <f t="shared" si="7"/>
        <v>8</v>
      </c>
      <c r="Q38" s="41" t="e">
        <f t="shared" si="8"/>
        <v>#DIV/0!</v>
      </c>
      <c r="R38" s="42" t="e">
        <f t="shared" si="8"/>
        <v>#DIV/0!</v>
      </c>
      <c r="S38" s="42" t="e">
        <f t="shared" si="8"/>
        <v>#DIV/0!</v>
      </c>
      <c r="T38" s="43" t="e">
        <f t="shared" si="8"/>
        <v>#DIV/0!</v>
      </c>
      <c r="U38">
        <f t="shared" si="9"/>
        <v>0.25</v>
      </c>
    </row>
    <row r="39" spans="8:21" x14ac:dyDescent="0.35">
      <c r="H39" t="s">
        <v>55</v>
      </c>
      <c r="I39" s="22">
        <f>(I37-1)/(I37+I32-1)</f>
        <v>0.92789526147273127</v>
      </c>
      <c r="K39" s="17" t="e">
        <f ca="1">FTEXT(I39)</f>
        <v>#NAME?</v>
      </c>
      <c r="Q39">
        <f>VAR(B5:B12)</f>
        <v>9.5535714285714288</v>
      </c>
      <c r="R39">
        <f>VAR(C5:C12)</f>
        <v>5.9821428571428568</v>
      </c>
      <c r="S39">
        <f>VAR(D5:D12)</f>
        <v>9.3571428571428577</v>
      </c>
      <c r="T39">
        <f>VAR(E5:E12)</f>
        <v>8.8392857142857135</v>
      </c>
      <c r="U39">
        <f>VAR(B5:E12)</f>
        <v>7.85383064516129</v>
      </c>
    </row>
    <row r="41" spans="8:21" x14ac:dyDescent="0.35">
      <c r="H41" t="s">
        <v>117</v>
      </c>
      <c r="I41" s="18">
        <f>(J23-J25)/J23</f>
        <v>0.91515855885771213</v>
      </c>
      <c r="K41" s="17" t="s">
        <v>118</v>
      </c>
    </row>
    <row r="42" spans="8:21" x14ac:dyDescent="0.35">
      <c r="H42" t="s">
        <v>54</v>
      </c>
      <c r="I42" s="20">
        <f>1-1/I36</f>
        <v>0.74813712415898048</v>
      </c>
      <c r="K42" s="17" t="s">
        <v>119</v>
      </c>
    </row>
    <row r="43" spans="8:21" x14ac:dyDescent="0.35">
      <c r="H43" t="s">
        <v>55</v>
      </c>
      <c r="I43" s="22">
        <f>1-1/I37</f>
        <v>0.98094325410841265</v>
      </c>
      <c r="K43" s="17" t="s">
        <v>120</v>
      </c>
    </row>
    <row r="45" spans="8:21" x14ac:dyDescent="0.35">
      <c r="H45" t="s">
        <v>121</v>
      </c>
      <c r="I45" s="15" t="e">
        <f ca="1">CRONALPHA(B5:E12)</f>
        <v>#NAME?</v>
      </c>
      <c r="K45" s="17" t="s">
        <v>122</v>
      </c>
    </row>
    <row r="47" spans="8:21" x14ac:dyDescent="0.35">
      <c r="H47" t="s">
        <v>97</v>
      </c>
    </row>
    <row r="49" spans="8:11" x14ac:dyDescent="0.35">
      <c r="H49" t="s">
        <v>114</v>
      </c>
      <c r="I49" s="18" t="e">
        <f ca="1">ICC(B5:E12,3,1)</f>
        <v>#NAME?</v>
      </c>
      <c r="K49" s="17" t="s">
        <v>123</v>
      </c>
    </row>
    <row r="50" spans="8:11" x14ac:dyDescent="0.35">
      <c r="H50" t="s">
        <v>117</v>
      </c>
      <c r="I50" s="22" t="e">
        <f ca="1">ICC(B5:E12,3,4)</f>
        <v>#NAME?</v>
      </c>
      <c r="K50" s="17" t="s">
        <v>124</v>
      </c>
    </row>
    <row r="52" spans="8:11" x14ac:dyDescent="0.35">
      <c r="H52" t="e">
        <f t="array" aca="1" ref="H52:I54" ca="1">ICC(B5:E12,3,1,TRUE)</f>
        <v>#NAME?</v>
      </c>
      <c r="I52" s="18" t="e">
        <f ca="1"/>
        <v>#NAME?</v>
      </c>
      <c r="K52" t="e">
        <f ca="1">FTEXT(I52)</f>
        <v>#NAME?</v>
      </c>
    </row>
    <row r="53" spans="8:11" x14ac:dyDescent="0.35">
      <c r="H53" t="e">
        <f ca="1"/>
        <v>#NAME?</v>
      </c>
      <c r="I53" s="20" t="e">
        <f ca="1"/>
        <v>#NAME?</v>
      </c>
    </row>
    <row r="54" spans="8:11" x14ac:dyDescent="0.35">
      <c r="H54" t="e">
        <f ca="1"/>
        <v>#NAME?</v>
      </c>
      <c r="I54" s="22" t="e">
        <f ca="1"/>
        <v>#NAME?</v>
      </c>
    </row>
    <row r="56" spans="8:11" x14ac:dyDescent="0.35">
      <c r="H56" t="e">
        <f t="array" aca="1" ref="H56:I58" ca="1">ICC(B5:E12,3,4,TRUE)</f>
        <v>#NAME?</v>
      </c>
      <c r="I56" s="18" t="e">
        <f ca="1"/>
        <v>#NAME?</v>
      </c>
      <c r="K56" t="e">
        <f ca="1">FTEXT(I56)</f>
        <v>#NAME?</v>
      </c>
    </row>
    <row r="57" spans="8:11" x14ac:dyDescent="0.35">
      <c r="H57" t="e">
        <f ca="1"/>
        <v>#NAME?</v>
      </c>
      <c r="I57" s="20" t="e">
        <f ca="1"/>
        <v>#NAME?</v>
      </c>
    </row>
    <row r="58" spans="8:11" x14ac:dyDescent="0.35">
      <c r="H58" t="e">
        <f ca="1"/>
        <v>#NAME?</v>
      </c>
      <c r="I58" s="22" t="e">
        <f ca="1"/>
        <v>#NAME?</v>
      </c>
    </row>
  </sheetData>
  <mergeCells count="1"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5C0DC-C6DB-41E7-88E0-096B9EEAD913}">
  <sheetPr codeName="Sheet12"/>
  <dimension ref="A1:E23"/>
  <sheetViews>
    <sheetView workbookViewId="0"/>
  </sheetViews>
  <sheetFormatPr defaultRowHeight="14.5" x14ac:dyDescent="0.35"/>
  <cols>
    <col min="1" max="2" width="5.81640625" style="45" customWidth="1"/>
    <col min="4" max="4" width="10" customWidth="1"/>
  </cols>
  <sheetData>
    <row r="1" spans="1:5" x14ac:dyDescent="0.35">
      <c r="A1" s="44" t="s">
        <v>125</v>
      </c>
    </row>
    <row r="3" spans="1:5" x14ac:dyDescent="0.35">
      <c r="A3" s="46" t="s">
        <v>126</v>
      </c>
      <c r="B3" s="46" t="s">
        <v>127</v>
      </c>
    </row>
    <row r="4" spans="1:5" x14ac:dyDescent="0.35">
      <c r="A4" s="47">
        <v>38.799999999999997</v>
      </c>
      <c r="B4" s="47">
        <v>28.5</v>
      </c>
      <c r="D4" t="s">
        <v>70</v>
      </c>
    </row>
    <row r="5" spans="1:5" x14ac:dyDescent="0.35">
      <c r="A5" s="47">
        <v>43.7</v>
      </c>
      <c r="B5" s="47">
        <v>48.7</v>
      </c>
    </row>
    <row r="6" spans="1:5" x14ac:dyDescent="0.35">
      <c r="A6" s="47">
        <v>45.8</v>
      </c>
      <c r="B6" s="47">
        <v>41.5</v>
      </c>
      <c r="D6" t="s">
        <v>72</v>
      </c>
      <c r="E6" s="48">
        <v>1</v>
      </c>
    </row>
    <row r="7" spans="1:5" x14ac:dyDescent="0.35">
      <c r="A7" s="47">
        <v>50.3</v>
      </c>
      <c r="B7" s="47">
        <v>55.5</v>
      </c>
      <c r="D7" t="s">
        <v>75</v>
      </c>
      <c r="E7" s="33">
        <v>1</v>
      </c>
    </row>
    <row r="8" spans="1:5" x14ac:dyDescent="0.35">
      <c r="A8" s="47">
        <v>56.5</v>
      </c>
      <c r="B8" s="47">
        <v>58.4</v>
      </c>
      <c r="D8" t="s">
        <v>7</v>
      </c>
      <c r="E8" s="38">
        <v>0.05</v>
      </c>
    </row>
    <row r="9" spans="1:5" x14ac:dyDescent="0.35">
      <c r="A9" s="47">
        <v>61.5</v>
      </c>
      <c r="B9" s="47">
        <v>56.3</v>
      </c>
    </row>
    <row r="10" spans="1:5" x14ac:dyDescent="0.35">
      <c r="A10" s="47">
        <v>62.2</v>
      </c>
      <c r="B10" s="47">
        <v>61.6</v>
      </c>
      <c r="D10" t="e">
        <f t="array" aca="1" ref="D10:E12" ca="1">ICC(A4:B23,E6,E7,TRUE,E8)</f>
        <v>#NAME?</v>
      </c>
      <c r="E10" s="48" t="e">
        <f ca="1"/>
        <v>#NAME?</v>
      </c>
    </row>
    <row r="11" spans="1:5" x14ac:dyDescent="0.35">
      <c r="A11" s="47">
        <v>62.8</v>
      </c>
      <c r="B11" s="47">
        <v>59.1</v>
      </c>
      <c r="D11" t="e">
        <f ca="1"/>
        <v>#NAME?</v>
      </c>
      <c r="E11" s="33" t="e">
        <f ca="1"/>
        <v>#NAME?</v>
      </c>
    </row>
    <row r="12" spans="1:5" x14ac:dyDescent="0.35">
      <c r="A12" s="47">
        <v>63.7</v>
      </c>
      <c r="B12" s="47">
        <v>59.1</v>
      </c>
      <c r="D12" t="e">
        <f ca="1"/>
        <v>#NAME?</v>
      </c>
      <c r="E12" s="38" t="e">
        <f ca="1"/>
        <v>#NAME?</v>
      </c>
    </row>
    <row r="13" spans="1:5" x14ac:dyDescent="0.35">
      <c r="A13" s="47">
        <v>64.5</v>
      </c>
      <c r="B13" s="47">
        <v>64.599999999999994</v>
      </c>
    </row>
    <row r="14" spans="1:5" x14ac:dyDescent="0.35">
      <c r="A14" s="47">
        <v>66.2</v>
      </c>
      <c r="B14" s="47">
        <v>63.9</v>
      </c>
    </row>
    <row r="15" spans="1:5" x14ac:dyDescent="0.35">
      <c r="A15" s="47">
        <v>67.3</v>
      </c>
      <c r="B15" s="47">
        <v>66.099999999999994</v>
      </c>
    </row>
    <row r="16" spans="1:5" x14ac:dyDescent="0.35">
      <c r="A16" s="47">
        <v>68.3</v>
      </c>
      <c r="B16" s="47">
        <v>66.599999999999994</v>
      </c>
    </row>
    <row r="17" spans="1:2" x14ac:dyDescent="0.35">
      <c r="A17" s="47">
        <v>68.400000000000006</v>
      </c>
      <c r="B17" s="47">
        <v>69.2</v>
      </c>
    </row>
    <row r="18" spans="1:2" x14ac:dyDescent="0.35">
      <c r="A18" s="47">
        <v>69.3</v>
      </c>
      <c r="B18" s="47">
        <v>64.7</v>
      </c>
    </row>
    <row r="19" spans="1:2" x14ac:dyDescent="0.35">
      <c r="A19" s="47">
        <v>69.5</v>
      </c>
      <c r="B19" s="47">
        <v>67</v>
      </c>
    </row>
    <row r="20" spans="1:2" x14ac:dyDescent="0.35">
      <c r="A20" s="47">
        <v>72.5</v>
      </c>
      <c r="B20" s="47">
        <v>75.3</v>
      </c>
    </row>
    <row r="21" spans="1:2" x14ac:dyDescent="0.35">
      <c r="A21" s="47">
        <v>73</v>
      </c>
      <c r="B21" s="47">
        <v>65.900000000000006</v>
      </c>
    </row>
    <row r="22" spans="1:2" x14ac:dyDescent="0.35">
      <c r="A22" s="47">
        <v>75.3</v>
      </c>
      <c r="B22" s="47">
        <v>78.8</v>
      </c>
    </row>
    <row r="23" spans="1:2" x14ac:dyDescent="0.35">
      <c r="A23" s="49">
        <v>77.2</v>
      </c>
      <c r="B23" s="49">
        <v>75.7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BE00-E1E5-4406-92A8-21178A193037}">
  <sheetPr codeName="Sheet11"/>
  <dimension ref="A1:R18"/>
  <sheetViews>
    <sheetView workbookViewId="0"/>
  </sheetViews>
  <sheetFormatPr defaultRowHeight="14.5" x14ac:dyDescent="0.35"/>
  <cols>
    <col min="4" max="4" width="3.26953125" customWidth="1"/>
    <col min="5" max="5" width="9.7265625" customWidth="1"/>
    <col min="7" max="7" width="2.453125" customWidth="1"/>
    <col min="11" max="11" width="3.453125" customWidth="1"/>
    <col min="12" max="12" width="10.1796875" customWidth="1"/>
    <col min="15" max="15" width="5.54296875" customWidth="1"/>
    <col min="17" max="17" width="3.26953125" customWidth="1"/>
    <col min="18" max="18" width="21.7265625" customWidth="1"/>
  </cols>
  <sheetData>
    <row r="1" spans="1:18" x14ac:dyDescent="0.35">
      <c r="A1" s="1" t="s">
        <v>128</v>
      </c>
    </row>
    <row r="3" spans="1:18" x14ac:dyDescent="0.35">
      <c r="A3" s="50" t="s">
        <v>129</v>
      </c>
      <c r="B3" s="50" t="s">
        <v>130</v>
      </c>
      <c r="C3" s="50" t="s">
        <v>131</v>
      </c>
      <c r="E3" t="s">
        <v>70</v>
      </c>
      <c r="H3" s="50" t="s">
        <v>132</v>
      </c>
      <c r="I3" s="50" t="s">
        <v>130</v>
      </c>
      <c r="J3" s="50" t="s">
        <v>131</v>
      </c>
      <c r="L3" t="s">
        <v>70</v>
      </c>
    </row>
    <row r="4" spans="1:18" x14ac:dyDescent="0.35">
      <c r="A4" s="3">
        <v>1</v>
      </c>
      <c r="B4" s="3">
        <v>3</v>
      </c>
      <c r="C4" s="3">
        <v>3</v>
      </c>
      <c r="H4" s="3">
        <v>1</v>
      </c>
      <c r="I4" s="3">
        <v>55</v>
      </c>
      <c r="J4" s="3">
        <v>52</v>
      </c>
      <c r="O4" t="s">
        <v>133</v>
      </c>
      <c r="P4" s="18" t="e">
        <f ca="1">ICC_SIZE(0,0.6,2,0.8)</f>
        <v>#NAME?</v>
      </c>
      <c r="R4" t="e">
        <f ca="1">FTEXT(P4)</f>
        <v>#NAME?</v>
      </c>
    </row>
    <row r="5" spans="1:18" x14ac:dyDescent="0.35">
      <c r="A5" s="3">
        <f>A4+1</f>
        <v>2</v>
      </c>
      <c r="B5" s="3">
        <v>2</v>
      </c>
      <c r="C5" s="3">
        <v>1</v>
      </c>
      <c r="E5" t="s">
        <v>72</v>
      </c>
      <c r="F5" s="32">
        <v>1</v>
      </c>
      <c r="H5" s="3">
        <f>H4+1</f>
        <v>2</v>
      </c>
      <c r="I5" s="3">
        <v>38</v>
      </c>
      <c r="J5" s="3">
        <v>23</v>
      </c>
      <c r="L5" t="s">
        <v>72</v>
      </c>
      <c r="M5" s="32">
        <v>2</v>
      </c>
      <c r="P5" s="20" t="e">
        <f ca="1">ICC_SIZE(0,0.6,2,0.9)</f>
        <v>#NAME?</v>
      </c>
      <c r="R5" t="e">
        <f ca="1">FTEXT(P5)</f>
        <v>#NAME?</v>
      </c>
    </row>
    <row r="6" spans="1:18" x14ac:dyDescent="0.35">
      <c r="A6" s="3">
        <f t="shared" ref="A6:A18" si="0">A5+1</f>
        <v>3</v>
      </c>
      <c r="B6" s="3">
        <v>4</v>
      </c>
      <c r="C6" s="3">
        <v>2</v>
      </c>
      <c r="E6" t="s">
        <v>75</v>
      </c>
      <c r="F6" s="33">
        <v>1</v>
      </c>
      <c r="H6" s="3">
        <f t="shared" ref="H6:H18" si="1">H5+1</f>
        <v>3</v>
      </c>
      <c r="I6" s="3">
        <v>72</v>
      </c>
      <c r="J6" s="3">
        <v>35</v>
      </c>
      <c r="L6" t="s">
        <v>75</v>
      </c>
      <c r="M6" s="33">
        <v>1</v>
      </c>
      <c r="P6" s="22" t="e">
        <f ca="1">ICC_SIZE(0,0.75,2,0.9)</f>
        <v>#NAME?</v>
      </c>
      <c r="R6" t="e">
        <f ca="1">FTEXT(P6)</f>
        <v>#NAME?</v>
      </c>
    </row>
    <row r="7" spans="1:18" x14ac:dyDescent="0.35">
      <c r="A7" s="3">
        <f t="shared" si="0"/>
        <v>4</v>
      </c>
      <c r="B7" s="3">
        <v>1</v>
      </c>
      <c r="C7" s="3">
        <v>2</v>
      </c>
      <c r="E7" t="s">
        <v>7</v>
      </c>
      <c r="F7" s="38">
        <v>0.05</v>
      </c>
      <c r="H7" s="3">
        <f t="shared" si="1"/>
        <v>4</v>
      </c>
      <c r="I7" s="3">
        <v>21</v>
      </c>
      <c r="J7" s="3">
        <v>37</v>
      </c>
      <c r="L7" t="s">
        <v>7</v>
      </c>
      <c r="M7" s="38">
        <v>0.05</v>
      </c>
    </row>
    <row r="8" spans="1:18" x14ac:dyDescent="0.35">
      <c r="A8" s="3">
        <f t="shared" si="0"/>
        <v>5</v>
      </c>
      <c r="B8" s="3">
        <v>5</v>
      </c>
      <c r="C8" s="3">
        <v>5</v>
      </c>
      <c r="H8" s="3">
        <f t="shared" si="1"/>
        <v>5</v>
      </c>
      <c r="I8" s="3">
        <v>88</v>
      </c>
      <c r="J8" s="3">
        <v>85</v>
      </c>
    </row>
    <row r="9" spans="1:18" x14ac:dyDescent="0.35">
      <c r="A9" s="3">
        <f t="shared" si="0"/>
        <v>6</v>
      </c>
      <c r="B9" s="3">
        <v>4</v>
      </c>
      <c r="C9" s="3">
        <v>3</v>
      </c>
      <c r="E9" t="e">
        <f t="array" aca="1" ref="E9:F11" ca="1">ICC(B4:C18,F5,F6,TRUE,F7)</f>
        <v>#NAME?</v>
      </c>
      <c r="F9" s="32" t="e">
        <f ca="1"/>
        <v>#NAME?</v>
      </c>
      <c r="H9" s="3">
        <f t="shared" si="1"/>
        <v>6</v>
      </c>
      <c r="I9" s="3">
        <v>73</v>
      </c>
      <c r="J9" s="3">
        <v>59</v>
      </c>
      <c r="L9" t="e">
        <f t="array" aca="1" ref="L9:M11" ca="1">ICC(I4:J18,M5,M6,TRUE,M7)</f>
        <v>#NAME?</v>
      </c>
      <c r="M9" s="32" t="e">
        <f ca="1"/>
        <v>#NAME?</v>
      </c>
    </row>
    <row r="10" spans="1:18" x14ac:dyDescent="0.35">
      <c r="A10" s="3">
        <f t="shared" si="0"/>
        <v>7</v>
      </c>
      <c r="B10" s="3">
        <v>3</v>
      </c>
      <c r="C10" s="3">
        <v>3</v>
      </c>
      <c r="E10" t="e">
        <f ca="1"/>
        <v>#NAME?</v>
      </c>
      <c r="F10" s="33" t="e">
        <f ca="1"/>
        <v>#NAME?</v>
      </c>
      <c r="H10" s="3">
        <f t="shared" si="1"/>
        <v>7</v>
      </c>
      <c r="I10" s="3">
        <v>52</v>
      </c>
      <c r="J10" s="3">
        <v>53</v>
      </c>
      <c r="L10" t="e">
        <f ca="1"/>
        <v>#NAME?</v>
      </c>
      <c r="M10" s="33" t="e">
        <f ca="1"/>
        <v>#NAME?</v>
      </c>
    </row>
    <row r="11" spans="1:18" x14ac:dyDescent="0.35">
      <c r="A11" s="3">
        <f t="shared" si="0"/>
        <v>8</v>
      </c>
      <c r="B11" s="3">
        <v>2</v>
      </c>
      <c r="C11" s="3">
        <v>3</v>
      </c>
      <c r="E11" t="e">
        <f ca="1"/>
        <v>#NAME?</v>
      </c>
      <c r="F11" s="38" t="e">
        <f ca="1"/>
        <v>#NAME?</v>
      </c>
      <c r="H11" s="3">
        <f t="shared" si="1"/>
        <v>8</v>
      </c>
      <c r="I11" s="3">
        <v>37</v>
      </c>
      <c r="J11" s="3">
        <v>55</v>
      </c>
      <c r="L11" t="e">
        <f ca="1"/>
        <v>#NAME?</v>
      </c>
      <c r="M11" s="38" t="e">
        <f ca="1"/>
        <v>#NAME?</v>
      </c>
    </row>
    <row r="12" spans="1:18" x14ac:dyDescent="0.35">
      <c r="A12" s="3">
        <f t="shared" si="0"/>
        <v>9</v>
      </c>
      <c r="B12" s="3">
        <v>3</v>
      </c>
      <c r="C12" s="3">
        <v>3</v>
      </c>
      <c r="H12" s="3">
        <f t="shared" si="1"/>
        <v>9</v>
      </c>
      <c r="I12" s="3">
        <v>54</v>
      </c>
      <c r="J12" s="3">
        <v>55</v>
      </c>
    </row>
    <row r="13" spans="1:18" x14ac:dyDescent="0.35">
      <c r="A13" s="3">
        <f t="shared" si="0"/>
        <v>10</v>
      </c>
      <c r="B13" s="3">
        <v>5</v>
      </c>
      <c r="C13" s="3">
        <v>5</v>
      </c>
      <c r="H13" s="3">
        <f t="shared" si="1"/>
        <v>10</v>
      </c>
      <c r="I13" s="3">
        <v>89</v>
      </c>
      <c r="J13" s="3">
        <v>88</v>
      </c>
    </row>
    <row r="14" spans="1:18" x14ac:dyDescent="0.35">
      <c r="A14" s="3">
        <f t="shared" si="0"/>
        <v>11</v>
      </c>
      <c r="B14" s="3">
        <v>1</v>
      </c>
      <c r="C14" s="3">
        <v>2</v>
      </c>
      <c r="H14" s="3">
        <f t="shared" si="1"/>
        <v>11</v>
      </c>
      <c r="I14" s="3">
        <v>20</v>
      </c>
      <c r="J14" s="3">
        <v>38</v>
      </c>
    </row>
    <row r="15" spans="1:18" x14ac:dyDescent="0.35">
      <c r="A15" s="3">
        <f t="shared" si="0"/>
        <v>12</v>
      </c>
      <c r="B15" s="3">
        <v>3</v>
      </c>
      <c r="C15" s="3">
        <v>4</v>
      </c>
      <c r="H15" s="3">
        <f t="shared" si="1"/>
        <v>12</v>
      </c>
      <c r="I15" s="3">
        <v>53</v>
      </c>
      <c r="J15" s="3">
        <v>65</v>
      </c>
    </row>
    <row r="16" spans="1:18" x14ac:dyDescent="0.35">
      <c r="A16" s="3">
        <f t="shared" si="0"/>
        <v>13</v>
      </c>
      <c r="B16" s="3">
        <v>4</v>
      </c>
      <c r="C16" s="3">
        <v>3</v>
      </c>
      <c r="H16" s="3">
        <f t="shared" si="1"/>
        <v>13</v>
      </c>
      <c r="I16" s="3">
        <v>68</v>
      </c>
      <c r="J16" s="3">
        <v>55</v>
      </c>
    </row>
    <row r="17" spans="1:10" x14ac:dyDescent="0.35">
      <c r="A17" s="3">
        <f t="shared" si="0"/>
        <v>14</v>
      </c>
      <c r="B17" s="3">
        <v>4</v>
      </c>
      <c r="C17" s="3">
        <v>4</v>
      </c>
      <c r="H17" s="3">
        <f t="shared" si="1"/>
        <v>14</v>
      </c>
      <c r="I17" s="3">
        <v>71</v>
      </c>
      <c r="J17" s="3">
        <v>68</v>
      </c>
    </row>
    <row r="18" spans="1:10" x14ac:dyDescent="0.35">
      <c r="A18" s="12">
        <f t="shared" si="0"/>
        <v>15</v>
      </c>
      <c r="B18" s="12">
        <v>2</v>
      </c>
      <c r="C18" s="12">
        <v>2</v>
      </c>
      <c r="H18" s="12">
        <f t="shared" si="1"/>
        <v>15</v>
      </c>
      <c r="I18" s="12">
        <v>34</v>
      </c>
      <c r="J18" s="12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Class 1</vt:lpstr>
      <vt:lpstr>Power</vt:lpstr>
      <vt:lpstr>Class 2</vt:lpstr>
      <vt:lpstr>Class 3</vt:lpstr>
      <vt:lpstr>Gold</vt:lpstr>
      <vt:lpstr>Test-Retest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2024-07-26T08:30:37Z</dcterms:created>
  <dcterms:modified xsi:type="dcterms:W3CDTF">2024-07-26T08:35:37Z</dcterms:modified>
</cp:coreProperties>
</file>