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" documentId="8_{E5E8F75C-ED80-41A3-88A8-0D1A5CB12D99}" xr6:coauthVersionLast="47" xr6:coauthVersionMax="47" xr10:uidLastSave="{E66A4573-A6B7-49C0-A104-8D269B1CED29}"/>
  <bookViews>
    <workbookView xWindow="-110" yWindow="-110" windowWidth="19420" windowHeight="10300" xr2:uid="{25DE069D-44A0-4FEB-B993-FB0AEAE80C30}"/>
  </bookViews>
  <sheets>
    <sheet name="Title" sheetId="4" r:id="rId1"/>
    <sheet name="1" sheetId="1" r:id="rId2"/>
    <sheet name="2" sheetId="2" r:id="rId3"/>
    <sheet name="3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3" l="1"/>
  <c r="U26" i="3"/>
  <c r="I26" i="3"/>
  <c r="U25" i="3"/>
  <c r="U20" i="3"/>
  <c r="U19" i="3"/>
  <c r="U12" i="3"/>
  <c r="U11" i="3"/>
  <c r="Q7" i="3"/>
  <c r="AK24" i="3"/>
  <c r="AJ24" i="3"/>
  <c r="AI24" i="3"/>
  <c r="AG24" i="3"/>
  <c r="AJ22" i="3"/>
  <c r="AI22" i="3"/>
  <c r="AH22" i="3"/>
  <c r="AG22" i="3"/>
  <c r="AG21" i="3"/>
  <c r="AF21" i="3"/>
  <c r="AK20" i="3"/>
  <c r="AI20" i="3"/>
  <c r="AF19" i="3"/>
  <c r="AK18" i="3"/>
  <c r="AJ18" i="3"/>
  <c r="AI18" i="3"/>
  <c r="AH18" i="3"/>
  <c r="AG18" i="3"/>
  <c r="AG17" i="3"/>
  <c r="AK16" i="3"/>
  <c r="AG16" i="3"/>
  <c r="AG15" i="3"/>
  <c r="AF15" i="3"/>
  <c r="AK14" i="3"/>
  <c r="AJ14" i="3"/>
  <c r="AI14" i="3"/>
  <c r="AH14" i="3"/>
  <c r="AG13" i="3"/>
  <c r="AI12" i="3"/>
  <c r="AH12" i="3"/>
  <c r="AG12" i="3"/>
  <c r="AG11" i="3"/>
  <c r="AF11" i="3"/>
  <c r="AK10" i="3"/>
  <c r="AJ10" i="3"/>
  <c r="AH10" i="3"/>
  <c r="AK8" i="3"/>
  <c r="AJ8" i="3"/>
  <c r="AI8" i="3"/>
  <c r="AH8" i="3"/>
  <c r="AG8" i="3"/>
  <c r="AG7" i="3"/>
  <c r="AF7" i="3"/>
  <c r="AJ6" i="3"/>
  <c r="AH5" i="3"/>
  <c r="AG5" i="3"/>
  <c r="AF5" i="3"/>
  <c r="AK4" i="3"/>
  <c r="AJ4" i="3"/>
  <c r="AI4" i="3"/>
  <c r="AH4" i="3"/>
  <c r="AH3" i="3"/>
  <c r="AF3" i="3" a="1"/>
  <c r="V57" i="1"/>
  <c r="V56" i="1"/>
  <c r="AO45" i="1"/>
  <c r="AN45" i="1"/>
  <c r="AO40" i="1"/>
  <c r="AN40" i="1"/>
  <c r="AO35" i="1"/>
  <c r="AN35" i="1"/>
  <c r="AV37" i="1"/>
  <c r="AU36" i="1"/>
  <c r="AT36" i="1"/>
  <c r="AT35" i="1"/>
  <c r="AS35" i="1"/>
  <c r="AR35" i="1"/>
  <c r="AU34" i="1"/>
  <c r="AR33" i="1" a="1"/>
  <c r="AB26" i="1"/>
  <c r="AB25" i="1"/>
  <c r="AV28" i="1"/>
  <c r="AU28" i="1"/>
  <c r="AT28" i="1"/>
  <c r="AS28" i="1"/>
  <c r="AS27" i="1"/>
  <c r="AV26" i="1"/>
  <c r="AU26" i="1"/>
  <c r="AT26" i="1"/>
  <c r="AS26" i="1"/>
  <c r="AR26" i="1"/>
  <c r="AV25" i="1"/>
  <c r="AV24" i="1"/>
  <c r="AU24" i="1"/>
  <c r="AT24" i="1"/>
  <c r="AS24" i="1"/>
  <c r="AR24" i="1"/>
  <c r="AR24" i="1" a="1"/>
  <c r="AB20" i="1"/>
  <c r="AB19" i="1"/>
  <c r="CO18" i="1"/>
  <c r="AT19" i="1"/>
  <c r="AS19" i="1"/>
  <c r="AR19" i="1"/>
  <c r="AV18" i="1"/>
  <c r="AU18" i="1"/>
  <c r="AT18" i="1"/>
  <c r="AS18" i="1"/>
  <c r="AR18" i="1"/>
  <c r="AV17" i="1"/>
  <c r="AR17" i="1"/>
  <c r="AV16" i="1"/>
  <c r="AU16" i="1"/>
  <c r="AT16" i="1"/>
  <c r="AS16" i="1"/>
  <c r="AR16" i="1"/>
  <c r="AV15" i="1"/>
  <c r="AU15" i="1"/>
  <c r="AT15" i="1"/>
  <c r="AR15" i="1" a="1"/>
  <c r="AU17" i="1" s="1"/>
  <c r="AU10" i="1"/>
  <c r="AU9" i="1"/>
  <c r="AT9" i="1"/>
  <c r="AS9" i="1"/>
  <c r="AS8" i="1"/>
  <c r="AR8" i="1"/>
  <c r="AV7" i="1"/>
  <c r="AT7" i="1"/>
  <c r="AR6" i="1" a="1"/>
  <c r="N24" i="3"/>
  <c r="M24" i="3"/>
  <c r="L24" i="3"/>
  <c r="K24" i="3"/>
  <c r="J24" i="3"/>
  <c r="I24" i="3"/>
  <c r="N23" i="3"/>
  <c r="M23" i="3"/>
  <c r="L23" i="3"/>
  <c r="K23" i="3"/>
  <c r="J23" i="3"/>
  <c r="I23" i="3"/>
  <c r="H23" i="3"/>
  <c r="N22" i="3"/>
  <c r="M22" i="3"/>
  <c r="L22" i="3"/>
  <c r="K22" i="3"/>
  <c r="J22" i="3"/>
  <c r="I22" i="3"/>
  <c r="H22" i="3"/>
  <c r="N21" i="3"/>
  <c r="M21" i="3"/>
  <c r="L21" i="3"/>
  <c r="K21" i="3"/>
  <c r="J21" i="3"/>
  <c r="I21" i="3"/>
  <c r="H21" i="3"/>
  <c r="M20" i="3"/>
  <c r="L20" i="3"/>
  <c r="K20" i="3"/>
  <c r="J20" i="3"/>
  <c r="I20" i="3"/>
  <c r="N17" i="3"/>
  <c r="M17" i="3"/>
  <c r="L17" i="3"/>
  <c r="K17" i="3"/>
  <c r="J17" i="3"/>
  <c r="I17" i="3"/>
  <c r="N16" i="3"/>
  <c r="M16" i="3"/>
  <c r="L16" i="3"/>
  <c r="K16" i="3"/>
  <c r="J16" i="3"/>
  <c r="I16" i="3"/>
  <c r="H16" i="3"/>
  <c r="N15" i="3"/>
  <c r="R8" i="3" s="1"/>
  <c r="M15" i="3"/>
  <c r="L15" i="3"/>
  <c r="K15" i="3"/>
  <c r="J15" i="3"/>
  <c r="I15" i="3"/>
  <c r="H15" i="3"/>
  <c r="S14" i="3"/>
  <c r="N14" i="3"/>
  <c r="M14" i="3"/>
  <c r="L14" i="3"/>
  <c r="K14" i="3"/>
  <c r="J14" i="3"/>
  <c r="I14" i="3"/>
  <c r="H14" i="3"/>
  <c r="M13" i="3"/>
  <c r="L13" i="3"/>
  <c r="K13" i="3"/>
  <c r="J13" i="3"/>
  <c r="I13" i="3"/>
  <c r="N10" i="3"/>
  <c r="R14" i="3" s="1"/>
  <c r="M10" i="3"/>
  <c r="L10" i="3"/>
  <c r="K10" i="3"/>
  <c r="J10" i="3"/>
  <c r="I10" i="3"/>
  <c r="N9" i="3"/>
  <c r="M9" i="3"/>
  <c r="L9" i="3"/>
  <c r="K9" i="3"/>
  <c r="J9" i="3"/>
  <c r="I9" i="3"/>
  <c r="H9" i="3"/>
  <c r="N8" i="3"/>
  <c r="M8" i="3"/>
  <c r="L8" i="3"/>
  <c r="K8" i="3"/>
  <c r="J8" i="3"/>
  <c r="I8" i="3"/>
  <c r="H8" i="3"/>
  <c r="R7" i="3"/>
  <c r="N7" i="3"/>
  <c r="M7" i="3"/>
  <c r="L7" i="3"/>
  <c r="K7" i="3"/>
  <c r="J7" i="3"/>
  <c r="I7" i="3"/>
  <c r="H7" i="3"/>
  <c r="M6" i="3"/>
  <c r="L6" i="3"/>
  <c r="K6" i="3"/>
  <c r="J6" i="3"/>
  <c r="I6" i="3"/>
  <c r="BW99" i="1"/>
  <c r="BU99" i="1"/>
  <c r="BW96" i="1"/>
  <c r="BW93" i="1"/>
  <c r="BV84" i="1"/>
  <c r="BW82" i="1"/>
  <c r="BV82" i="1"/>
  <c r="BU82" i="1"/>
  <c r="BW81" i="1"/>
  <c r="BV81" i="1"/>
  <c r="BU81" i="1"/>
  <c r="BW80" i="1"/>
  <c r="BV80" i="1"/>
  <c r="BU80" i="1"/>
  <c r="BZ79" i="1"/>
  <c r="BW79" i="1"/>
  <c r="BV79" i="1"/>
  <c r="BU79" i="1"/>
  <c r="BW78" i="1"/>
  <c r="BV78" i="1"/>
  <c r="BU78" i="1"/>
  <c r="BW77" i="1"/>
  <c r="BV77" i="1"/>
  <c r="BV83" i="1" s="1"/>
  <c r="BU77" i="1"/>
  <c r="BZ76" i="1"/>
  <c r="BW76" i="1"/>
  <c r="BV76" i="1"/>
  <c r="BU76" i="1"/>
  <c r="BV67" i="1"/>
  <c r="BZ65" i="1"/>
  <c r="BW65" i="1"/>
  <c r="BV65" i="1"/>
  <c r="BU65" i="1"/>
  <c r="BZ64" i="1"/>
  <c r="BW64" i="1"/>
  <c r="BV64" i="1"/>
  <c r="BU64" i="1"/>
  <c r="BZ63" i="1"/>
  <c r="BW63" i="1"/>
  <c r="BV63" i="1"/>
  <c r="BU63" i="1"/>
  <c r="BZ62" i="1"/>
  <c r="BW62" i="1"/>
  <c r="BV62" i="1"/>
  <c r="BU62" i="1"/>
  <c r="BZ61" i="1"/>
  <c r="BW61" i="1"/>
  <c r="BV61" i="1"/>
  <c r="BU61" i="1"/>
  <c r="BZ60" i="1"/>
  <c r="BW60" i="1"/>
  <c r="BV60" i="1"/>
  <c r="BV66" i="1" s="1"/>
  <c r="BU60" i="1"/>
  <c r="BZ59" i="1"/>
  <c r="BW59" i="1"/>
  <c r="BW66" i="1" s="1"/>
  <c r="BV59" i="1"/>
  <c r="BU59" i="1"/>
  <c r="Q58" i="1"/>
  <c r="BW48" i="1"/>
  <c r="BV48" i="1"/>
  <c r="BU48" i="1"/>
  <c r="BW47" i="1"/>
  <c r="BV47" i="1"/>
  <c r="BU47" i="1"/>
  <c r="BW46" i="1"/>
  <c r="BV46" i="1"/>
  <c r="BU46" i="1"/>
  <c r="AJ46" i="1"/>
  <c r="BW45" i="1"/>
  <c r="BV45" i="1"/>
  <c r="BU45" i="1"/>
  <c r="AJ45" i="1"/>
  <c r="O45" i="1"/>
  <c r="BW44" i="1"/>
  <c r="BV44" i="1"/>
  <c r="BU44" i="1"/>
  <c r="BW43" i="1"/>
  <c r="BV43" i="1"/>
  <c r="BU43" i="1"/>
  <c r="BW42" i="1"/>
  <c r="BV42" i="1"/>
  <c r="BU42" i="1"/>
  <c r="BB41" i="1"/>
  <c r="AT41" i="1"/>
  <c r="AU41" i="1" s="1"/>
  <c r="AV41" i="1" s="1"/>
  <c r="AS41" i="1"/>
  <c r="AJ41" i="1"/>
  <c r="AJ40" i="1"/>
  <c r="R37" i="1"/>
  <c r="S37" i="1" s="1"/>
  <c r="AJ36" i="1"/>
  <c r="R36" i="1"/>
  <c r="S36" i="1" s="1"/>
  <c r="AJ35" i="1"/>
  <c r="AQ33" i="1"/>
  <c r="BB32" i="1"/>
  <c r="AS32" i="1"/>
  <c r="AT32" i="1" s="1"/>
  <c r="BW31" i="1"/>
  <c r="BV31" i="1"/>
  <c r="BU31" i="1"/>
  <c r="BW30" i="1"/>
  <c r="BV30" i="1"/>
  <c r="BU30" i="1"/>
  <c r="BW29" i="1"/>
  <c r="BV29" i="1"/>
  <c r="BU29" i="1"/>
  <c r="AL29" i="1"/>
  <c r="BW28" i="1"/>
  <c r="BV28" i="1"/>
  <c r="BU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W27" i="1"/>
  <c r="BV27" i="1"/>
  <c r="BU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W26" i="1"/>
  <c r="BV26" i="1"/>
  <c r="BU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W25" i="1"/>
  <c r="BV25" i="1"/>
  <c r="BU25" i="1"/>
  <c r="BS25" i="1"/>
  <c r="BQ25" i="1"/>
  <c r="BP25" i="1"/>
  <c r="BO25" i="1"/>
  <c r="BN25" i="1"/>
  <c r="BM25" i="1"/>
  <c r="BI25" i="1"/>
  <c r="BE25" i="1"/>
  <c r="BS24" i="1"/>
  <c r="BR24" i="1"/>
  <c r="BR25" i="1" s="1"/>
  <c r="BQ24" i="1"/>
  <c r="BP24" i="1"/>
  <c r="BO24" i="1"/>
  <c r="BN24" i="1"/>
  <c r="BM24" i="1"/>
  <c r="BL24" i="1"/>
  <c r="BL25" i="1" s="1"/>
  <c r="BK24" i="1"/>
  <c r="BK25" i="1" s="1"/>
  <c r="BJ24" i="1"/>
  <c r="BJ25" i="1" s="1"/>
  <c r="BI24" i="1"/>
  <c r="BH24" i="1"/>
  <c r="BH25" i="1" s="1"/>
  <c r="BG24" i="1"/>
  <c r="BG25" i="1" s="1"/>
  <c r="BF24" i="1"/>
  <c r="BF25" i="1" s="1"/>
  <c r="BE24" i="1"/>
  <c r="AQ24" i="1"/>
  <c r="G24" i="1"/>
  <c r="AG13" i="1" s="1"/>
  <c r="AT23" i="1"/>
  <c r="AU23" i="1" s="1"/>
  <c r="AS23" i="1"/>
  <c r="G23" i="1"/>
  <c r="G22" i="1"/>
  <c r="AG11" i="1" s="1"/>
  <c r="G21" i="1"/>
  <c r="G20" i="1"/>
  <c r="G19" i="1"/>
  <c r="BF7" i="1" s="1"/>
  <c r="BW94" i="1" s="1"/>
  <c r="CO20" i="1"/>
  <c r="G18" i="1"/>
  <c r="G17" i="1"/>
  <c r="G16" i="1"/>
  <c r="BE11" i="1" s="1"/>
  <c r="BV98" i="1" s="1"/>
  <c r="AQ15" i="1"/>
  <c r="G15" i="1"/>
  <c r="BW14" i="1"/>
  <c r="BV14" i="1"/>
  <c r="BU14" i="1"/>
  <c r="BB14" i="1"/>
  <c r="AV14" i="1"/>
  <c r="AU14" i="1"/>
  <c r="AT14" i="1"/>
  <c r="AS14" i="1"/>
  <c r="G14" i="1"/>
  <c r="BE9" i="1" s="1"/>
  <c r="BV96" i="1" s="1"/>
  <c r="BW13" i="1"/>
  <c r="BV13" i="1"/>
  <c r="BU13" i="1"/>
  <c r="AE13" i="1"/>
  <c r="G13" i="1"/>
  <c r="AF9" i="1" s="1"/>
  <c r="BW12" i="1"/>
  <c r="BV12" i="1"/>
  <c r="BU12" i="1"/>
  <c r="BF12" i="1"/>
  <c r="AF12" i="1"/>
  <c r="AE12" i="1"/>
  <c r="J12" i="1"/>
  <c r="G12" i="1"/>
  <c r="BE7" i="1" s="1"/>
  <c r="BV94" i="1" s="1"/>
  <c r="BW11" i="1"/>
  <c r="BV11" i="1"/>
  <c r="BU11" i="1"/>
  <c r="AF11" i="1"/>
  <c r="N11" i="1"/>
  <c r="M11" i="1"/>
  <c r="L11" i="1"/>
  <c r="K11" i="1"/>
  <c r="K12" i="1" s="1"/>
  <c r="J11" i="1"/>
  <c r="G11" i="1"/>
  <c r="BW10" i="1"/>
  <c r="BV10" i="1"/>
  <c r="BU10" i="1"/>
  <c r="BE10" i="1"/>
  <c r="BV97" i="1" s="1"/>
  <c r="BD10" i="1"/>
  <c r="BU97" i="1" s="1"/>
  <c r="AG10" i="1"/>
  <c r="AE10" i="1"/>
  <c r="N10" i="1"/>
  <c r="O10" i="1" s="1"/>
  <c r="M10" i="1"/>
  <c r="L10" i="1"/>
  <c r="K10" i="1"/>
  <c r="J10" i="1"/>
  <c r="G10" i="1"/>
  <c r="BD12" i="1" s="1"/>
  <c r="BW9" i="1"/>
  <c r="BV9" i="1"/>
  <c r="BU9" i="1"/>
  <c r="BF9" i="1"/>
  <c r="AG9" i="1"/>
  <c r="AE9" i="1"/>
  <c r="N9" i="1"/>
  <c r="N12" i="1" s="1"/>
  <c r="M9" i="1"/>
  <c r="L9" i="1"/>
  <c r="K9" i="1"/>
  <c r="J9" i="1"/>
  <c r="G9" i="1"/>
  <c r="BD11" i="1" s="1"/>
  <c r="BU98" i="1" s="1"/>
  <c r="BW8" i="1"/>
  <c r="BV8" i="1"/>
  <c r="BU8" i="1"/>
  <c r="BF8" i="1"/>
  <c r="BW95" i="1" s="1"/>
  <c r="BE8" i="1"/>
  <c r="BV95" i="1" s="1"/>
  <c r="BD8" i="1"/>
  <c r="BU95" i="1" s="1"/>
  <c r="AG8" i="1"/>
  <c r="AE8" i="1"/>
  <c r="G8" i="1"/>
  <c r="AE11" i="1" s="1"/>
  <c r="CL7" i="1"/>
  <c r="AG7" i="1"/>
  <c r="AF7" i="1"/>
  <c r="G7" i="1"/>
  <c r="BD9" i="1" s="1"/>
  <c r="BU96" i="1" s="1"/>
  <c r="BF6" i="1"/>
  <c r="BE6" i="1"/>
  <c r="G6" i="1"/>
  <c r="AS5" i="1"/>
  <c r="S5" i="1"/>
  <c r="L5" i="1"/>
  <c r="BB23" i="1" s="1"/>
  <c r="G5" i="1"/>
  <c r="BD7" i="1" s="1"/>
  <c r="BU94" i="1" s="1"/>
  <c r="G4" i="1"/>
  <c r="AE7" i="1" s="1"/>
  <c r="AS36" i="1" l="1"/>
  <c r="AV33" i="1"/>
  <c r="AR36" i="1"/>
  <c r="AU33" i="1"/>
  <c r="AV35" i="1"/>
  <c r="AT33" i="1"/>
  <c r="AU35" i="1"/>
  <c r="AS33" i="1"/>
  <c r="AV36" i="1"/>
  <c r="AR9" i="1"/>
  <c r="AU6" i="1"/>
  <c r="AU11" i="1" s="1"/>
  <c r="AV8" i="1"/>
  <c r="AT6" i="1"/>
  <c r="AU8" i="1"/>
  <c r="AS6" i="1"/>
  <c r="AV10" i="1"/>
  <c r="AT8" i="1"/>
  <c r="AR6" i="1"/>
  <c r="AY8" i="1" s="1"/>
  <c r="AV9" i="1"/>
  <c r="AR33" i="1"/>
  <c r="AR37" i="1"/>
  <c r="AV6" i="1"/>
  <c r="AR10" i="1"/>
  <c r="AR34" i="1"/>
  <c r="AS37" i="1"/>
  <c r="AF24" i="3"/>
  <c r="AF22" i="3"/>
  <c r="AF20" i="3"/>
  <c r="AF18" i="3"/>
  <c r="AF16" i="3"/>
  <c r="AF14" i="3"/>
  <c r="AF12" i="3"/>
  <c r="AF10" i="3"/>
  <c r="AF8" i="3"/>
  <c r="AF6" i="3"/>
  <c r="AF4" i="3"/>
  <c r="AK23" i="3"/>
  <c r="AK21" i="3"/>
  <c r="AK19" i="3"/>
  <c r="AK17" i="3"/>
  <c r="AK15" i="3"/>
  <c r="AK13" i="3"/>
  <c r="AK11" i="3"/>
  <c r="AK9" i="3"/>
  <c r="AK7" i="3"/>
  <c r="AK5" i="3"/>
  <c r="AK3" i="3"/>
  <c r="AJ23" i="3"/>
  <c r="AJ21" i="3"/>
  <c r="AJ19" i="3"/>
  <c r="AJ17" i="3"/>
  <c r="AJ15" i="3"/>
  <c r="AJ13" i="3"/>
  <c r="AJ11" i="3"/>
  <c r="AJ9" i="3"/>
  <c r="AJ7" i="3"/>
  <c r="AJ5" i="3"/>
  <c r="AJ3" i="3"/>
  <c r="AI23" i="3"/>
  <c r="AI21" i="3"/>
  <c r="AI19" i="3"/>
  <c r="AI17" i="3"/>
  <c r="AI15" i="3"/>
  <c r="AI13" i="3"/>
  <c r="AI11" i="3"/>
  <c r="AI9" i="3"/>
  <c r="AI7" i="3"/>
  <c r="AI5" i="3"/>
  <c r="AI3" i="3"/>
  <c r="AH23" i="3"/>
  <c r="AH21" i="3"/>
  <c r="AH19" i="3"/>
  <c r="AH17" i="3"/>
  <c r="AH15" i="3"/>
  <c r="AH13" i="3"/>
  <c r="AH11" i="3"/>
  <c r="AH9" i="3"/>
  <c r="AH7" i="3"/>
  <c r="AG6" i="3"/>
  <c r="AF9" i="3"/>
  <c r="AJ12" i="3"/>
  <c r="AH16" i="3"/>
  <c r="AG19" i="3"/>
  <c r="AK22" i="3"/>
  <c r="AR7" i="1"/>
  <c r="AS10" i="1"/>
  <c r="AS34" i="1"/>
  <c r="AT37" i="1"/>
  <c r="AF3" i="3"/>
  <c r="AH6" i="3"/>
  <c r="AG9" i="3"/>
  <c r="AK12" i="3"/>
  <c r="AI16" i="3"/>
  <c r="AG20" i="3"/>
  <c r="AF23" i="3"/>
  <c r="AS7" i="1"/>
  <c r="AS12" i="1" s="1"/>
  <c r="AT10" i="1"/>
  <c r="AR28" i="1"/>
  <c r="AU25" i="1"/>
  <c r="AV27" i="1"/>
  <c r="AT25" i="1"/>
  <c r="AU27" i="1"/>
  <c r="AS25" i="1"/>
  <c r="AS30" i="1" s="1"/>
  <c r="AT27" i="1"/>
  <c r="AR25" i="1"/>
  <c r="AR27" i="1"/>
  <c r="AT34" i="1"/>
  <c r="AU37" i="1"/>
  <c r="AG3" i="3"/>
  <c r="AI6" i="3"/>
  <c r="AG10" i="3"/>
  <c r="AF13" i="3"/>
  <c r="AJ16" i="3"/>
  <c r="AH20" i="3"/>
  <c r="AG23" i="3"/>
  <c r="AU7" i="1"/>
  <c r="AV34" i="1"/>
  <c r="AG4" i="3"/>
  <c r="AK6" i="3"/>
  <c r="AI10" i="3"/>
  <c r="AG14" i="3"/>
  <c r="AF17" i="3"/>
  <c r="AJ20" i="3"/>
  <c r="AH24" i="3"/>
  <c r="AS17" i="1"/>
  <c r="AU19" i="1"/>
  <c r="AR15" i="1"/>
  <c r="AY17" i="1" s="1"/>
  <c r="AT17" i="1"/>
  <c r="AT21" i="1" s="1"/>
  <c r="AV19" i="1"/>
  <c r="AV21" i="1" s="1"/>
  <c r="AS15" i="1"/>
  <c r="AS20" i="1" s="1"/>
  <c r="AS39" i="1"/>
  <c r="AT39" i="1"/>
  <c r="AV29" i="1"/>
  <c r="AU20" i="1"/>
  <c r="AV20" i="1"/>
  <c r="AT38" i="1"/>
  <c r="AV38" i="1"/>
  <c r="AT29" i="1"/>
  <c r="AU30" i="1"/>
  <c r="BV15" i="1"/>
  <c r="BV16" i="1"/>
  <c r="R43" i="1"/>
  <c r="BY82" i="1"/>
  <c r="BY13" i="1"/>
  <c r="BZ13" i="1"/>
  <c r="BZ43" i="1"/>
  <c r="CA45" i="1"/>
  <c r="BW84" i="1"/>
  <c r="BY46" i="1"/>
  <c r="S38" i="1"/>
  <c r="X14" i="1"/>
  <c r="BZ46" i="1"/>
  <c r="BZ9" i="1"/>
  <c r="CR5" i="1"/>
  <c r="CS5" i="1" s="1"/>
  <c r="CR4" i="1"/>
  <c r="CS4" i="1" s="1"/>
  <c r="CR6" i="1"/>
  <c r="CS6" i="1" s="1"/>
  <c r="AU32" i="1"/>
  <c r="BU66" i="1"/>
  <c r="BU67" i="1"/>
  <c r="BY59" i="1"/>
  <c r="AT5" i="1"/>
  <c r="CA61" i="1"/>
  <c r="Q14" i="3"/>
  <c r="R10" i="3"/>
  <c r="CA62" i="1"/>
  <c r="CA60" i="1"/>
  <c r="BU15" i="1"/>
  <c r="BU16" i="1"/>
  <c r="BY9" i="1"/>
  <c r="BY12" i="1"/>
  <c r="BY42" i="1"/>
  <c r="BY48" i="1"/>
  <c r="CA8" i="1"/>
  <c r="BW15" i="1"/>
  <c r="BZ78" i="1"/>
  <c r="BZ80" i="1"/>
  <c r="BZ77" i="1"/>
  <c r="BZ82" i="1"/>
  <c r="BY29" i="1"/>
  <c r="BW16" i="1"/>
  <c r="BZ29" i="1"/>
  <c r="BV50" i="1"/>
  <c r="BU49" i="1"/>
  <c r="CA65" i="1"/>
  <c r="Q8" i="3"/>
  <c r="BF10" i="1"/>
  <c r="BW97" i="1" s="1"/>
  <c r="AF13" i="1"/>
  <c r="BE12" i="1"/>
  <c r="BV99" i="1" s="1"/>
  <c r="CA29" i="1"/>
  <c r="BV49" i="1"/>
  <c r="BD6" i="1"/>
  <c r="AF8" i="1"/>
  <c r="BW49" i="1"/>
  <c r="CA44" i="1" s="1"/>
  <c r="Q11" i="3"/>
  <c r="BY14" i="1"/>
  <c r="AG12" i="1"/>
  <c r="BF11" i="1"/>
  <c r="BW98" i="1" s="1"/>
  <c r="BV93" i="1"/>
  <c r="BY10" i="1"/>
  <c r="AU29" i="1"/>
  <c r="BZ45" i="1"/>
  <c r="BU50" i="1"/>
  <c r="CA63" i="1"/>
  <c r="BW32" i="1"/>
  <c r="BW33" i="1"/>
  <c r="CA59" i="1"/>
  <c r="BW67" i="1"/>
  <c r="O11" i="1"/>
  <c r="BZ10" i="1"/>
  <c r="R42" i="1"/>
  <c r="BZ81" i="1"/>
  <c r="R9" i="3"/>
  <c r="CA64" i="1"/>
  <c r="BY80" i="1"/>
  <c r="CA14" i="1"/>
  <c r="AV23" i="1"/>
  <c r="AT11" i="1"/>
  <c r="AS11" i="1"/>
  <c r="AV11" i="1"/>
  <c r="BK6" i="1"/>
  <c r="BK7" i="1" s="1"/>
  <c r="BK9" i="1"/>
  <c r="AS29" i="1"/>
  <c r="R11" i="3"/>
  <c r="BW50" i="1"/>
  <c r="BV32" i="1"/>
  <c r="BZ30" i="1" s="1"/>
  <c r="BZ28" i="1"/>
  <c r="CA82" i="1"/>
  <c r="R8" i="1"/>
  <c r="S8" i="1" s="1"/>
  <c r="O9" i="1"/>
  <c r="O12" i="1"/>
  <c r="BU83" i="1"/>
  <c r="CA10" i="1"/>
  <c r="AU38" i="1"/>
  <c r="I5" i="3"/>
  <c r="L12" i="1"/>
  <c r="AF10" i="1"/>
  <c r="BY78" i="1"/>
  <c r="BW83" i="1"/>
  <c r="CA81" i="1" s="1"/>
  <c r="BU32" i="1"/>
  <c r="BV33" i="1"/>
  <c r="BY44" i="1"/>
  <c r="M12" i="1"/>
  <c r="K5" i="1" s="1"/>
  <c r="AS38" i="1"/>
  <c r="AR12" i="1" l="1"/>
  <c r="AY6" i="1" s="1"/>
  <c r="AR11" i="1"/>
  <c r="AY9" i="1" s="1"/>
  <c r="AY7" i="1"/>
  <c r="CO4" i="1"/>
  <c r="CP4" i="1" s="1"/>
  <c r="CQ4" i="1" s="1"/>
  <c r="AY16" i="1"/>
  <c r="AR21" i="1"/>
  <c r="AY15" i="1" s="1"/>
  <c r="AR20" i="1"/>
  <c r="AY18" i="1" s="1"/>
  <c r="R9" i="1"/>
  <c r="S9" i="1" s="1"/>
  <c r="AY23" i="1"/>
  <c r="T7" i="1"/>
  <c r="Y10" i="1" s="1"/>
  <c r="AY5" i="1"/>
  <c r="AY32" i="1"/>
  <c r="AY41" i="1"/>
  <c r="R6" i="1"/>
  <c r="S6" i="1" s="1"/>
  <c r="AY14" i="1"/>
  <c r="CL6" i="1"/>
  <c r="AU5" i="1"/>
  <c r="AT12" i="1"/>
  <c r="CA76" i="1"/>
  <c r="S8" i="3"/>
  <c r="R44" i="1"/>
  <c r="BY31" i="1"/>
  <c r="BY26" i="1"/>
  <c r="BY30" i="1"/>
  <c r="BY76" i="1"/>
  <c r="BY81" i="1"/>
  <c r="BY77" i="1"/>
  <c r="BY79" i="1"/>
  <c r="BY25" i="1"/>
  <c r="BZ25" i="1"/>
  <c r="AS44" i="1"/>
  <c r="R56" i="1"/>
  <c r="CA77" i="1"/>
  <c r="BI10" i="1"/>
  <c r="BI6" i="1"/>
  <c r="BI7" i="1" s="1"/>
  <c r="BI9" i="1"/>
  <c r="BI8" i="1"/>
  <c r="BU93" i="1"/>
  <c r="BW101" i="1"/>
  <c r="AT20" i="1"/>
  <c r="BZ99" i="1"/>
  <c r="BJ8" i="1"/>
  <c r="BJ6" i="1"/>
  <c r="BJ7" i="1" s="1"/>
  <c r="AT30" i="1"/>
  <c r="R25" i="3"/>
  <c r="R19" i="3"/>
  <c r="Q9" i="3"/>
  <c r="V8" i="3" s="1"/>
  <c r="R12" i="3"/>
  <c r="BY28" i="1"/>
  <c r="BV100" i="1"/>
  <c r="BZ93" i="1"/>
  <c r="BV101" i="1"/>
  <c r="AS43" i="1"/>
  <c r="AS48" i="1" s="1"/>
  <c r="BU33" i="1"/>
  <c r="AV30" i="1"/>
  <c r="BU84" i="1"/>
  <c r="BY11" i="1"/>
  <c r="BY8" i="1"/>
  <c r="AU39" i="1"/>
  <c r="AV32" i="1"/>
  <c r="AV39" i="1" s="1"/>
  <c r="CA79" i="1"/>
  <c r="BZ14" i="1"/>
  <c r="BZ11" i="1"/>
  <c r="BZ12" i="1"/>
  <c r="CA28" i="1"/>
  <c r="CA25" i="1"/>
  <c r="CA30" i="1"/>
  <c r="CA27" i="1"/>
  <c r="CA31" i="1"/>
  <c r="BZ26" i="1"/>
  <c r="BZ27" i="1"/>
  <c r="BZ31" i="1"/>
  <c r="BJ9" i="1"/>
  <c r="AY34" i="1"/>
  <c r="AR38" i="1"/>
  <c r="AY36" i="1" s="1"/>
  <c r="CO6" i="1"/>
  <c r="CP6" i="1" s="1"/>
  <c r="CQ6" i="1" s="1"/>
  <c r="AY35" i="1"/>
  <c r="AR39" i="1"/>
  <c r="AY33" i="1" s="1"/>
  <c r="CA80" i="1"/>
  <c r="R57" i="1"/>
  <c r="AU21" i="1"/>
  <c r="AS21" i="1"/>
  <c r="J5" i="1"/>
  <c r="AU44" i="1" s="1"/>
  <c r="CO5" i="1"/>
  <c r="CP5" i="1" s="1"/>
  <c r="CQ5" i="1" s="1"/>
  <c r="AR30" i="1"/>
  <c r="AY24" i="1" s="1"/>
  <c r="AY25" i="1"/>
  <c r="AY26" i="1"/>
  <c r="AR29" i="1"/>
  <c r="AY27" i="1" s="1"/>
  <c r="BZ48" i="1"/>
  <c r="BZ44" i="1"/>
  <c r="BZ42" i="1"/>
  <c r="BZ47" i="1"/>
  <c r="CA9" i="1"/>
  <c r="CA12" i="1"/>
  <c r="CA11" i="1"/>
  <c r="AU42" i="1"/>
  <c r="AU47" i="1" s="1"/>
  <c r="CA13" i="1"/>
  <c r="BZ8" i="1"/>
  <c r="Q19" i="3"/>
  <c r="S11" i="3"/>
  <c r="Q25" i="3"/>
  <c r="CA26" i="1"/>
  <c r="CA43" i="1"/>
  <c r="CA47" i="1"/>
  <c r="CA48" i="1"/>
  <c r="CA42" i="1"/>
  <c r="R13" i="3"/>
  <c r="BY60" i="1"/>
  <c r="BY62" i="1"/>
  <c r="BY64" i="1"/>
  <c r="BY65" i="1"/>
  <c r="BY61" i="1"/>
  <c r="BK8" i="1"/>
  <c r="BJ10" i="1"/>
  <c r="CA46" i="1"/>
  <c r="BY27" i="1"/>
  <c r="BW100" i="1"/>
  <c r="BK10" i="1"/>
  <c r="AT43" i="1"/>
  <c r="CA78" i="1"/>
  <c r="BY43" i="1"/>
  <c r="BY47" i="1"/>
  <c r="BY45" i="1"/>
  <c r="BY63" i="1"/>
  <c r="S11" i="1" l="1"/>
  <c r="R27" i="3"/>
  <c r="R21" i="3"/>
  <c r="CA95" i="1"/>
  <c r="CA94" i="1"/>
  <c r="CA96" i="1"/>
  <c r="CA93" i="1"/>
  <c r="CA99" i="1"/>
  <c r="BB42" i="1"/>
  <c r="AV45" i="1"/>
  <c r="BB6" i="1"/>
  <c r="AY11" i="1"/>
  <c r="AY10" i="1"/>
  <c r="R20" i="3"/>
  <c r="R26" i="3"/>
  <c r="AR45" i="1"/>
  <c r="CA98" i="1"/>
  <c r="AV44" i="1"/>
  <c r="AV43" i="1"/>
  <c r="S12" i="1"/>
  <c r="X6" i="1"/>
  <c r="S10" i="1"/>
  <c r="S19" i="3"/>
  <c r="AR44" i="1"/>
  <c r="BB15" i="1"/>
  <c r="AY19" i="1"/>
  <c r="AY20" i="1"/>
  <c r="T37" i="1"/>
  <c r="T5" i="1"/>
  <c r="T6" i="1"/>
  <c r="Y7" i="1" s="1"/>
  <c r="BB43" i="1"/>
  <c r="R7" i="1"/>
  <c r="S7" i="1" s="1"/>
  <c r="T8" i="1"/>
  <c r="T36" i="1"/>
  <c r="CL5" i="1"/>
  <c r="CL8" i="1" s="1"/>
  <c r="BB5" i="1"/>
  <c r="T9" i="1"/>
  <c r="AU46" i="1"/>
  <c r="AU43" i="1"/>
  <c r="AV46" i="1"/>
  <c r="AV48" i="1" s="1"/>
  <c r="AR42" i="1"/>
  <c r="AT46" i="1"/>
  <c r="AR43" i="1"/>
  <c r="AV42" i="1"/>
  <c r="AV47" i="1" s="1"/>
  <c r="AT45" i="1"/>
  <c r="AS42" i="1"/>
  <c r="AS47" i="1" s="1"/>
  <c r="S9" i="3"/>
  <c r="T8" i="3" s="1"/>
  <c r="U8" i="3" s="1"/>
  <c r="Q13" i="3"/>
  <c r="X7" i="1"/>
  <c r="U6" i="1"/>
  <c r="BZ95" i="1"/>
  <c r="BZ96" i="1"/>
  <c r="BZ98" i="1"/>
  <c r="BZ97" i="1"/>
  <c r="BZ94" i="1"/>
  <c r="AT42" i="1"/>
  <c r="AT47" i="1" s="1"/>
  <c r="AY38" i="1"/>
  <c r="BB33" i="1"/>
  <c r="AY37" i="1"/>
  <c r="CA97" i="1"/>
  <c r="S25" i="3"/>
  <c r="AU45" i="1"/>
  <c r="AU48" i="1" s="1"/>
  <c r="BU100" i="1"/>
  <c r="BY93" i="1" s="1"/>
  <c r="BU101" i="1"/>
  <c r="BB24" i="1"/>
  <c r="AY28" i="1"/>
  <c r="AY29" i="1"/>
  <c r="AV5" i="1"/>
  <c r="AV12" i="1" s="1"/>
  <c r="AU12" i="1"/>
  <c r="AS45" i="1"/>
  <c r="Q10" i="3"/>
  <c r="AT44" i="1"/>
  <c r="AT48" i="1" s="1"/>
  <c r="AR46" i="1"/>
  <c r="CL14" i="1"/>
  <c r="AS46" i="1"/>
  <c r="AY39" i="1" l="1"/>
  <c r="AY12" i="1"/>
  <c r="BB7" i="1" s="1"/>
  <c r="BB9" i="1" s="1"/>
  <c r="Q12" i="3"/>
  <c r="S12" i="3" s="1"/>
  <c r="S43" i="1"/>
  <c r="U37" i="1"/>
  <c r="BB49" i="1"/>
  <c r="AC7" i="1"/>
  <c r="Z7" i="1"/>
  <c r="AY21" i="1"/>
  <c r="Q21" i="3"/>
  <c r="S13" i="3"/>
  <c r="T11" i="3" s="1"/>
  <c r="Q27" i="3"/>
  <c r="V11" i="3"/>
  <c r="BB34" i="1"/>
  <c r="BB36" i="1" s="1"/>
  <c r="AY55" i="1"/>
  <c r="BB39" i="1"/>
  <c r="CR7" i="1"/>
  <c r="AR51" i="1" a="1"/>
  <c r="T11" i="1"/>
  <c r="Y11" i="1" s="1"/>
  <c r="U8" i="1"/>
  <c r="S13" i="1"/>
  <c r="X9" i="1"/>
  <c r="T12" i="1"/>
  <c r="Y6" i="1"/>
  <c r="BB21" i="1"/>
  <c r="S42" i="1"/>
  <c r="U36" i="1"/>
  <c r="AY30" i="1"/>
  <c r="BB30" i="1"/>
  <c r="U7" i="1"/>
  <c r="X10" i="1"/>
  <c r="U9" i="1"/>
  <c r="CL17" i="1"/>
  <c r="R49" i="1"/>
  <c r="R58" i="1"/>
  <c r="X8" i="1"/>
  <c r="BB12" i="1"/>
  <c r="BY94" i="1"/>
  <c r="BY96" i="1"/>
  <c r="BY98" i="1"/>
  <c r="BY95" i="1"/>
  <c r="BY97" i="1"/>
  <c r="BY99" i="1"/>
  <c r="AR48" i="1"/>
  <c r="AY42" i="1" s="1"/>
  <c r="AY43" i="1"/>
  <c r="AY44" i="1"/>
  <c r="AR47" i="1"/>
  <c r="AY45" i="1" s="1"/>
  <c r="T10" i="1"/>
  <c r="T38" i="1"/>
  <c r="Y14" i="1"/>
  <c r="U5" i="1"/>
  <c r="X11" i="1"/>
  <c r="U11" i="1"/>
  <c r="BB8" i="1" l="1"/>
  <c r="BB10" i="1" s="1"/>
  <c r="BB35" i="1"/>
  <c r="BB37" i="1" s="1"/>
  <c r="AZ55" i="1" s="1"/>
  <c r="AK46" i="1" s="1"/>
  <c r="AL46" i="1" s="1"/>
  <c r="T12" i="3"/>
  <c r="Q26" i="3"/>
  <c r="S26" i="3" s="1"/>
  <c r="Q20" i="3"/>
  <c r="V20" i="3" s="1"/>
  <c r="V12" i="3"/>
  <c r="AT55" i="1"/>
  <c r="AR53" i="1"/>
  <c r="AS54" i="1"/>
  <c r="AV51" i="1"/>
  <c r="AR54" i="1"/>
  <c r="AU51" i="1"/>
  <c r="AV53" i="1"/>
  <c r="AT51" i="1"/>
  <c r="AV55" i="1"/>
  <c r="AT52" i="1"/>
  <c r="AU55" i="1"/>
  <c r="AS52" i="1"/>
  <c r="AU54" i="1"/>
  <c r="AT54" i="1"/>
  <c r="AS55" i="1"/>
  <c r="AR52" i="1"/>
  <c r="AV54" i="1"/>
  <c r="AR51" i="1"/>
  <c r="CO7" i="1" s="1"/>
  <c r="CP7" i="1" s="1"/>
  <c r="CQ7" i="1" s="1"/>
  <c r="CQ8" i="1" s="1"/>
  <c r="CL11" i="1" s="1"/>
  <c r="AR55" i="1"/>
  <c r="AS51" i="1"/>
  <c r="AV52" i="1"/>
  <c r="AU53" i="1"/>
  <c r="AU52" i="1"/>
  <c r="AT53" i="1"/>
  <c r="AS53" i="1"/>
  <c r="BB16" i="1"/>
  <c r="AY53" i="1"/>
  <c r="AC11" i="1"/>
  <c r="X26" i="1"/>
  <c r="X20" i="1"/>
  <c r="Z11" i="1"/>
  <c r="T13" i="1"/>
  <c r="Y12" i="1" s="1"/>
  <c r="Y9" i="1"/>
  <c r="S49" i="1"/>
  <c r="Y8" i="1"/>
  <c r="U12" i="1"/>
  <c r="U10" i="1"/>
  <c r="S27" i="3"/>
  <c r="T25" i="3" s="1"/>
  <c r="V25" i="3"/>
  <c r="CS7" i="1"/>
  <c r="CS8" i="1" s="1"/>
  <c r="CO11" i="1" s="1"/>
  <c r="CR8" i="1"/>
  <c r="CL12" i="1" s="1"/>
  <c r="S44" i="1"/>
  <c r="T44" i="1" s="1"/>
  <c r="U38" i="1"/>
  <c r="X19" i="1"/>
  <c r="Z10" i="1"/>
  <c r="AC10" i="1"/>
  <c r="X25" i="1"/>
  <c r="Z8" i="1"/>
  <c r="AA7" i="1" s="1"/>
  <c r="AB7" i="1" s="1"/>
  <c r="AY47" i="1"/>
  <c r="AY46" i="1"/>
  <c r="AY48" i="1" s="1"/>
  <c r="X12" i="1"/>
  <c r="AY54" i="1"/>
  <c r="BB25" i="1"/>
  <c r="S56" i="1"/>
  <c r="T42" i="1"/>
  <c r="S21" i="3"/>
  <c r="T19" i="3" s="1"/>
  <c r="V19" i="3"/>
  <c r="S57" i="1"/>
  <c r="T43" i="1"/>
  <c r="AK45" i="1" l="1"/>
  <c r="AL45" i="1" s="1"/>
  <c r="AM45" i="1" s="1"/>
  <c r="S20" i="3"/>
  <c r="T20" i="3" s="1"/>
  <c r="V26" i="3"/>
  <c r="CO12" i="1"/>
  <c r="BB44" i="1"/>
  <c r="Y19" i="1"/>
  <c r="Z19" i="1" s="1"/>
  <c r="CL13" i="1"/>
  <c r="CL15" i="1" s="1"/>
  <c r="CL18" i="1" s="1"/>
  <c r="T57" i="1"/>
  <c r="U43" i="1"/>
  <c r="V43" i="1" s="1"/>
  <c r="CO13" i="1"/>
  <c r="CO15" i="1" s="1"/>
  <c r="CO17" i="1" s="1"/>
  <c r="Y21" i="1"/>
  <c r="Y20" i="1"/>
  <c r="Z20" i="1" s="1"/>
  <c r="T56" i="1"/>
  <c r="U42" i="1"/>
  <c r="V42" i="1" s="1"/>
  <c r="S58" i="1"/>
  <c r="T58" i="1" s="1"/>
  <c r="AC20" i="1"/>
  <c r="BB27" i="1"/>
  <c r="BB26" i="1"/>
  <c r="AK40" i="1"/>
  <c r="AL40" i="1" s="1"/>
  <c r="AK41" i="1"/>
  <c r="AL41" i="1" s="1"/>
  <c r="AK35" i="1"/>
  <c r="AL35" i="1" s="1"/>
  <c r="AK36" i="1"/>
  <c r="AL36" i="1" s="1"/>
  <c r="X21" i="1"/>
  <c r="X27" i="1"/>
  <c r="Z12" i="1"/>
  <c r="AA10" i="1" s="1"/>
  <c r="AB10" i="1" s="1"/>
  <c r="T26" i="3"/>
  <c r="BB18" i="1"/>
  <c r="BB17" i="1"/>
  <c r="U13" i="1"/>
  <c r="BB19" i="1" l="1"/>
  <c r="AZ53" i="1" s="1"/>
  <c r="Z21" i="1"/>
  <c r="AA19" i="1" s="1"/>
  <c r="U57" i="1"/>
  <c r="AM35" i="1"/>
  <c r="AC19" i="1"/>
  <c r="U56" i="1"/>
  <c r="BB46" i="1"/>
  <c r="BB45" i="1"/>
  <c r="BB47" i="1" s="1"/>
  <c r="AM40" i="1"/>
  <c r="AA11" i="1"/>
  <c r="AB11" i="1" s="1"/>
  <c r="AC25" i="1"/>
  <c r="BB28" i="1"/>
  <c r="AZ54" i="1" s="1"/>
  <c r="CO14" i="1"/>
  <c r="CO16" i="1" s="1"/>
  <c r="CO19" i="1"/>
  <c r="AC26" i="1"/>
  <c r="AA20" i="1" l="1"/>
  <c r="Y25" i="1"/>
  <c r="Z25" i="1" s="1"/>
  <c r="Y26" i="1"/>
  <c r="Z26" i="1" s="1"/>
  <c r="Y27" i="1"/>
  <c r="Z27" i="1" s="1"/>
  <c r="AA25" i="1" l="1"/>
  <c r="AA26" i="1"/>
</calcChain>
</file>

<file path=xl/sharedStrings.xml><?xml version="1.0" encoding="utf-8"?>
<sst xmlns="http://schemas.openxmlformats.org/spreadsheetml/2006/main" count="718" uniqueCount="174">
  <si>
    <t>ANOVA repeated measures - 1 within-subjects factor and 1 between-subjects factor</t>
  </si>
  <si>
    <t>Age</t>
  </si>
  <si>
    <t>Day 1</t>
  </si>
  <si>
    <t>Day 2</t>
  </si>
  <si>
    <t>Day 3</t>
  </si>
  <si>
    <t>Day 4</t>
  </si>
  <si>
    <t>Day 5</t>
  </si>
  <si>
    <t>Mean</t>
  </si>
  <si>
    <t>Counts</t>
  </si>
  <si>
    <t>Sources of Variation</t>
  </si>
  <si>
    <t>ANOVA - within-subjects simple effects</t>
  </si>
  <si>
    <t>Covariance matrices</t>
  </si>
  <si>
    <t>Epsilon</t>
  </si>
  <si>
    <t>Normality</t>
  </si>
  <si>
    <t>Levene's</t>
  </si>
  <si>
    <t>Box's Test</t>
  </si>
  <si>
    <t>det</t>
  </si>
  <si>
    <t>ln det</t>
  </si>
  <si>
    <t>(m-1)*ln det</t>
  </si>
  <si>
    <t>1/(m-1)</t>
  </si>
  <si>
    <t>1/(m-1)^2</t>
  </si>
  <si>
    <t>Young</t>
  </si>
  <si>
    <t>Days</t>
  </si>
  <si>
    <t>Subject</t>
  </si>
  <si>
    <t>count</t>
  </si>
  <si>
    <t>SS</t>
  </si>
  <si>
    <t>df</t>
  </si>
  <si>
    <t>MS</t>
  </si>
  <si>
    <t>ANOVA</t>
  </si>
  <si>
    <t>Between subject effects</t>
  </si>
  <si>
    <t>Total</t>
  </si>
  <si>
    <t>Source of Variation</t>
  </si>
  <si>
    <t>F</t>
  </si>
  <si>
    <t>P-value</t>
  </si>
  <si>
    <t>P Eta-sq</t>
  </si>
  <si>
    <t>ANOVA - Young</t>
  </si>
  <si>
    <t># Groups</t>
  </si>
  <si>
    <t># Subjects</t>
  </si>
  <si>
    <t>Middle</t>
  </si>
  <si>
    <t>Old</t>
  </si>
  <si>
    <t>Anova: Single Factor</t>
  </si>
  <si>
    <t># matrices</t>
  </si>
  <si>
    <t>Between Subjects</t>
  </si>
  <si>
    <t>F crit</t>
  </si>
  <si>
    <t>Means of Var</t>
  </si>
  <si>
    <t>Min</t>
  </si>
  <si>
    <t># col/rows</t>
  </si>
  <si>
    <t>Interaction</t>
  </si>
  <si>
    <t xml:space="preserve">   Age groups</t>
  </si>
  <si>
    <t>Rows</t>
  </si>
  <si>
    <t>Matrix Mean</t>
  </si>
  <si>
    <t>GG Epsilon</t>
  </si>
  <si>
    <t>Q1-Min</t>
  </si>
  <si>
    <t>SUMMARY</t>
  </si>
  <si>
    <t># subjects</t>
  </si>
  <si>
    <t>Pooled</t>
  </si>
  <si>
    <t>Bet Days x Age</t>
  </si>
  <si>
    <t xml:space="preserve">   Subj w/i Age (Error)</t>
  </si>
  <si>
    <t>Columns</t>
  </si>
  <si>
    <t>SS Matrix</t>
  </si>
  <si>
    <t>HF Numerator</t>
  </si>
  <si>
    <t>Med-Q1</t>
  </si>
  <si>
    <t>Groups</t>
  </si>
  <si>
    <t>Count</t>
  </si>
  <si>
    <t>Sum</t>
  </si>
  <si>
    <t>Average</t>
  </si>
  <si>
    <t>Variance</t>
  </si>
  <si>
    <t>n</t>
  </si>
  <si>
    <t>M</t>
  </si>
  <si>
    <t>Between Subj</t>
  </si>
  <si>
    <t>Within Subjects</t>
  </si>
  <si>
    <t>Error</t>
  </si>
  <si>
    <t>SS Row Means</t>
  </si>
  <si>
    <t>HF Denominator</t>
  </si>
  <si>
    <t>Q3-Med</t>
  </si>
  <si>
    <t>Within Subj</t>
  </si>
  <si>
    <t xml:space="preserve">   Days</t>
  </si>
  <si>
    <t>GG Numerator</t>
  </si>
  <si>
    <t>HF Epsilon</t>
  </si>
  <si>
    <t>Max-Q3</t>
  </si>
  <si>
    <t>Days x Age</t>
  </si>
  <si>
    <t xml:space="preserve">   Days x Age</t>
  </si>
  <si>
    <t>mean</t>
  </si>
  <si>
    <t>GG Denominator</t>
  </si>
  <si>
    <t>c0</t>
  </si>
  <si>
    <t>Subj w/i Age</t>
  </si>
  <si>
    <t xml:space="preserve">   D x S w/i Age (Error)</t>
  </si>
  <si>
    <t>var</t>
  </si>
  <si>
    <t>Lower Bound</t>
  </si>
  <si>
    <t>c</t>
  </si>
  <si>
    <t>df0</t>
  </si>
  <si>
    <t>Days x S w/i Age</t>
  </si>
  <si>
    <t>ANOVA - Middle</t>
  </si>
  <si>
    <t>χ2</t>
  </si>
  <si>
    <t>a+</t>
  </si>
  <si>
    <t>Y 1</t>
  </si>
  <si>
    <t>Y 2</t>
  </si>
  <si>
    <t>Y 3</t>
  </si>
  <si>
    <t xml:space="preserve">Y 4 </t>
  </si>
  <si>
    <t>Y 5</t>
  </si>
  <si>
    <t>M 1</t>
  </si>
  <si>
    <t>M 2</t>
  </si>
  <si>
    <t>M 3</t>
  </si>
  <si>
    <t xml:space="preserve">M 4 </t>
  </si>
  <si>
    <t>M 5</t>
  </si>
  <si>
    <t>O 1</t>
  </si>
  <si>
    <t>O 2</t>
  </si>
  <si>
    <t>O 3</t>
  </si>
  <si>
    <t xml:space="preserve">O 4 </t>
  </si>
  <si>
    <t>O 5</t>
  </si>
  <si>
    <t>a-</t>
  </si>
  <si>
    <t>p-value</t>
  </si>
  <si>
    <t>F+</t>
  </si>
  <si>
    <t>Between Groups</t>
  </si>
  <si>
    <t>α</t>
  </si>
  <si>
    <t>F-</t>
  </si>
  <si>
    <t>Greenhouse and Geisser</t>
  </si>
  <si>
    <t>Within Groups</t>
  </si>
  <si>
    <t>χ2-crit</t>
  </si>
  <si>
    <t>sig</t>
  </si>
  <si>
    <t>F-crit</t>
  </si>
  <si>
    <t>ANOVA - Old</t>
  </si>
  <si>
    <t>Huynh and Feldt</t>
  </si>
  <si>
    <t>Average MSE</t>
  </si>
  <si>
    <t xml:space="preserve">Corrected </t>
  </si>
  <si>
    <t>Simple Effects (between-subjects)</t>
  </si>
  <si>
    <t>ANOVA - Young (corrected with GG epsilon)</t>
  </si>
  <si>
    <t>Age x Day 1</t>
  </si>
  <si>
    <t>Age x Day 5</t>
  </si>
  <si>
    <t>ANOVA - Middle (corrected with GG epsilon)</t>
  </si>
  <si>
    <t># Days</t>
  </si>
  <si>
    <t>ANOVA - Old (corrected with HF epsilon)</t>
  </si>
  <si>
    <t># Age Groups</t>
  </si>
  <si>
    <t>Alternative calculation of Error terms:</t>
  </si>
  <si>
    <t>Corrected version</t>
  </si>
  <si>
    <t>GG</t>
  </si>
  <si>
    <t>HF</t>
  </si>
  <si>
    <t>Between-subjects</t>
  </si>
  <si>
    <t>Anova: Two-Factor Without Replication (Young)</t>
  </si>
  <si>
    <t>Anova: Two-Factor Without Replication (Middle)</t>
  </si>
  <si>
    <t>Anova: Two-Factor Without Replication (Old)</t>
  </si>
  <si>
    <t>Row 1</t>
  </si>
  <si>
    <t>Row 2</t>
  </si>
  <si>
    <t>Row 3</t>
  </si>
  <si>
    <t>Row 4</t>
  </si>
  <si>
    <t>Row 5</t>
  </si>
  <si>
    <t>Row 6</t>
  </si>
  <si>
    <t>Row 7</t>
  </si>
  <si>
    <t>Column 1</t>
  </si>
  <si>
    <t>Column 2</t>
  </si>
  <si>
    <t>Column 3</t>
  </si>
  <si>
    <t>Column 4</t>
  </si>
  <si>
    <t>Column 5</t>
  </si>
  <si>
    <t>Standard Format</t>
  </si>
  <si>
    <t>Sorted using QSORTRows</t>
  </si>
  <si>
    <t>Descriptive Statistics</t>
  </si>
  <si>
    <t>Two Factor Anova with Repeated Measures</t>
  </si>
  <si>
    <t>COUNT</t>
  </si>
  <si>
    <t>Alpha</t>
  </si>
  <si>
    <t>P value</t>
  </si>
  <si>
    <t>- Rows</t>
  </si>
  <si>
    <t>- Error</t>
  </si>
  <si>
    <t>- Columns</t>
  </si>
  <si>
    <t>MEAN</t>
  </si>
  <si>
    <t>- Interaction</t>
  </si>
  <si>
    <t>Sources</t>
  </si>
  <si>
    <t>VARIANCE</t>
  </si>
  <si>
    <t>Huyhn and Feldt</t>
  </si>
  <si>
    <t>GG epsilon</t>
  </si>
  <si>
    <t>HF epsilon</t>
  </si>
  <si>
    <t>Real Statistics Using Excel</t>
  </si>
  <si>
    <t>Updated</t>
  </si>
  <si>
    <t>Copyright © 2013 - 2024 Charles Zaiontz</t>
  </si>
  <si>
    <t>Detailed Within-Subjects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</si>
</sst>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6" xfId="0" applyFill="1" applyBorder="1"/>
    <xf numFmtId="0" fontId="0" fillId="2" borderId="0" xfId="0" applyFill="1"/>
    <xf numFmtId="0" fontId="0" fillId="2" borderId="7" xfId="0" applyFill="1" applyBorder="1"/>
    <xf numFmtId="0" fontId="0" fillId="0" borderId="0" xfId="0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2" fillId="0" borderId="0" xfId="0" applyFont="1" applyAlignment="1">
      <alignment horizontal="center"/>
    </xf>
    <xf numFmtId="0" fontId="0" fillId="0" borderId="5" xfId="0" applyBorder="1"/>
    <xf numFmtId="0" fontId="0" fillId="2" borderId="11" xfId="0" applyFill="1" applyBorder="1"/>
    <xf numFmtId="0" fontId="0" fillId="2" borderId="1" xfId="0" applyFill="1" applyBorder="1"/>
    <xf numFmtId="0" fontId="0" fillId="2" borderId="12" xfId="0" applyFill="1" applyBorder="1"/>
    <xf numFmtId="0" fontId="0" fillId="0" borderId="14" xfId="0" applyBorder="1"/>
    <xf numFmtId="0" fontId="0" fillId="0" borderId="15" xfId="0" applyBorder="1"/>
    <xf numFmtId="0" fontId="3" fillId="0" borderId="0" xfId="0" applyFont="1"/>
    <xf numFmtId="0" fontId="0" fillId="0" borderId="14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5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'1'!$I$9</c:f>
              <c:strCache>
                <c:ptCount val="1"/>
                <c:pt idx="0">
                  <c:v>Young</c:v>
                </c:pt>
              </c:strCache>
            </c:strRef>
          </c:tx>
          <c:cat>
            <c:strRef>
              <c:f>'1'!$J$8:$N$8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'1'!$J$9:$N$9</c:f>
              <c:numCache>
                <c:formatCode>General</c:formatCode>
                <c:ptCount val="5"/>
                <c:pt idx="0">
                  <c:v>184.85714285714286</c:v>
                </c:pt>
                <c:pt idx="1">
                  <c:v>259.85714285714283</c:v>
                </c:pt>
                <c:pt idx="2">
                  <c:v>382.85714285714283</c:v>
                </c:pt>
                <c:pt idx="3">
                  <c:v>362.57142857142856</c:v>
                </c:pt>
                <c:pt idx="4">
                  <c:v>383.71428571428572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E-4D2C-A4F8-62AED9A333AF}"/>
            </c:ext>
          </c:extLst>
        </c:ser>
        <c:ser>
          <c:idx val="1"/>
          <c:order val="1"/>
          <c:tx>
            <c:strRef>
              <c:f>'1'!$I$10</c:f>
              <c:strCache>
                <c:ptCount val="1"/>
                <c:pt idx="0">
                  <c:v>Middle</c:v>
                </c:pt>
              </c:strCache>
            </c:strRef>
          </c:tx>
          <c:cat>
            <c:strRef>
              <c:f>'1'!$J$8:$N$8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'1'!$J$10:$N$10</c:f>
              <c:numCache>
                <c:formatCode>General</c:formatCode>
                <c:ptCount val="5"/>
                <c:pt idx="0">
                  <c:v>54.428571428571431</c:v>
                </c:pt>
                <c:pt idx="1">
                  <c:v>119.14285714285714</c:v>
                </c:pt>
                <c:pt idx="2">
                  <c:v>317.42857142857144</c:v>
                </c:pt>
                <c:pt idx="3">
                  <c:v>281.57142857142856</c:v>
                </c:pt>
                <c:pt idx="4">
                  <c:v>309.85714285714283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E-4D2C-A4F8-62AED9A333AF}"/>
            </c:ext>
          </c:extLst>
        </c:ser>
        <c:ser>
          <c:idx val="2"/>
          <c:order val="2"/>
          <c:tx>
            <c:strRef>
              <c:f>'1'!$I$11</c:f>
              <c:strCache>
                <c:ptCount val="1"/>
                <c:pt idx="0">
                  <c:v>Old</c:v>
                </c:pt>
              </c:strCache>
            </c:strRef>
          </c:tx>
          <c:cat>
            <c:strRef>
              <c:f>'1'!$J$8:$N$8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'1'!$J$11:$N$11</c:f>
              <c:numCache>
                <c:formatCode>General</c:formatCode>
                <c:ptCount val="5"/>
                <c:pt idx="0">
                  <c:v>87.428571428571431</c:v>
                </c:pt>
                <c:pt idx="1">
                  <c:v>238.71428571428572</c:v>
                </c:pt>
                <c:pt idx="2">
                  <c:v>369.57142857142856</c:v>
                </c:pt>
                <c:pt idx="3">
                  <c:v>374.28571428571428</c:v>
                </c:pt>
                <c:pt idx="4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2E-4D2C-A4F8-62AED9A33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909032"/>
        <c:axId val="678909424"/>
      </c:lineChart>
      <c:catAx>
        <c:axId val="678909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8909424"/>
        <c:crosses val="autoZero"/>
        <c:auto val="1"/>
        <c:lblAlgn val="ctr"/>
        <c:lblOffset val="100"/>
        <c:noMultiLvlLbl val="0"/>
      </c:catAx>
      <c:valAx>
        <c:axId val="67890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8909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'1'!$BH$6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'1'!$BI$5:$BK$5</c:f>
              <c:strCache>
                <c:ptCount val="3"/>
                <c:pt idx="0">
                  <c:v>Young</c:v>
                </c:pt>
                <c:pt idx="1">
                  <c:v>Middle</c:v>
                </c:pt>
                <c:pt idx="2">
                  <c:v>Old</c:v>
                </c:pt>
              </c:strCache>
            </c:strRef>
          </c:cat>
          <c:val>
            <c:numRef>
              <c:f>'1'!$BI$6:$BK$6</c:f>
              <c:numCache>
                <c:formatCode>General</c:formatCode>
                <c:ptCount val="3"/>
                <c:pt idx="0">
                  <c:v>237</c:v>
                </c:pt>
                <c:pt idx="1">
                  <c:v>155.19999999999999</c:v>
                </c:pt>
                <c:pt idx="2">
                  <c:v>249.8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1-4B41-8E5A-09C548D73736}"/>
            </c:ext>
          </c:extLst>
        </c:ser>
        <c:ser>
          <c:idx val="1"/>
          <c:order val="1"/>
          <c:tx>
            <c:strRef>
              <c:f>'1'!$BH$7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'1'!$BI$5:$BK$5</c:f>
              <c:strCache>
                <c:ptCount val="3"/>
                <c:pt idx="0">
                  <c:v>Young</c:v>
                </c:pt>
                <c:pt idx="1">
                  <c:v>Middle</c:v>
                </c:pt>
                <c:pt idx="2">
                  <c:v>Old</c:v>
                </c:pt>
              </c:strCache>
            </c:strRef>
          </c:cat>
          <c:val>
            <c:numRef>
              <c:f>'1'!$BI$7:$BK$7</c:f>
              <c:numCache>
                <c:formatCode>General</c:formatCode>
                <c:ptCount val="3"/>
                <c:pt idx="0">
                  <c:v>37.100000000000023</c:v>
                </c:pt>
                <c:pt idx="1">
                  <c:v>32.199999999999989</c:v>
                </c:pt>
                <c:pt idx="2">
                  <c:v>9.6999999999999886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1-4B41-8E5A-09C548D73736}"/>
            </c:ext>
          </c:extLst>
        </c:ser>
        <c:ser>
          <c:idx val="2"/>
          <c:order val="2"/>
          <c:tx>
            <c:strRef>
              <c:f>'1'!$BH$8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'1'!$BI$5:$BK$5</c:f>
              <c:strCache>
                <c:ptCount val="3"/>
                <c:pt idx="0">
                  <c:v>Young</c:v>
                </c:pt>
                <c:pt idx="1">
                  <c:v>Middle</c:v>
                </c:pt>
                <c:pt idx="2">
                  <c:v>Old</c:v>
                </c:pt>
              </c:strCache>
            </c:strRef>
          </c:cat>
          <c:val>
            <c:numRef>
              <c:f>'1'!$BI$8:$BK$8</c:f>
              <c:numCache>
                <c:formatCode>General</c:formatCode>
                <c:ptCount val="3"/>
                <c:pt idx="0">
                  <c:v>57.699999999999989</c:v>
                </c:pt>
                <c:pt idx="1">
                  <c:v>43.400000000000034</c:v>
                </c:pt>
                <c:pt idx="2">
                  <c:v>5.1000000000000227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1-4B41-8E5A-09C548D73736}"/>
            </c:ext>
          </c:extLst>
        </c:ser>
        <c:ser>
          <c:idx val="3"/>
          <c:order val="3"/>
          <c:tx>
            <c:strRef>
              <c:f>'1'!$BH$9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'1'!$BI$10:$BK$10</c:f>
                <c:numCache>
                  <c:formatCode>General</c:formatCode>
                  <c:ptCount val="3"/>
                  <c:pt idx="0">
                    <c:v>15.099999999999966</c:v>
                  </c:pt>
                  <c:pt idx="1">
                    <c:v>34.900000000000006</c:v>
                  </c:pt>
                  <c:pt idx="2">
                    <c:v>47.199999999999989</c:v>
                  </c:pt>
                </c:numCache>
              </c:numRef>
            </c:plus>
          </c:errBars>
          <c:cat>
            <c:strRef>
              <c:f>'1'!$BI$5:$BK$5</c:f>
              <c:strCache>
                <c:ptCount val="3"/>
                <c:pt idx="0">
                  <c:v>Young</c:v>
                </c:pt>
                <c:pt idx="1">
                  <c:v>Middle</c:v>
                </c:pt>
                <c:pt idx="2">
                  <c:v>Old</c:v>
                </c:pt>
              </c:strCache>
            </c:strRef>
          </c:cat>
          <c:val>
            <c:numRef>
              <c:f>'1'!$BI$9:$BK$9</c:f>
              <c:numCache>
                <c:formatCode>General</c:formatCode>
                <c:ptCount val="3"/>
                <c:pt idx="0">
                  <c:v>25.300000000000011</c:v>
                </c:pt>
                <c:pt idx="1">
                  <c:v>9.0999999999999943</c:v>
                </c:pt>
                <c:pt idx="2">
                  <c:v>41.599999999999966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61-4B41-8E5A-09C548D7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8907856"/>
        <c:axId val="678915304"/>
      </c:barChart>
      <c:catAx>
        <c:axId val="67890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8915304"/>
        <c:crosses val="autoZero"/>
        <c:auto val="1"/>
        <c:lblAlgn val="ctr"/>
        <c:lblOffset val="100"/>
        <c:noMultiLvlLbl val="0"/>
      </c:catAx>
      <c:valAx>
        <c:axId val="678915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890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'1'!$BD$24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'1'!$BE$23:$BS$23</c:f>
              <c:strCache>
                <c:ptCount val="15"/>
                <c:pt idx="0">
                  <c:v>Y 1</c:v>
                </c:pt>
                <c:pt idx="1">
                  <c:v>Y 2</c:v>
                </c:pt>
                <c:pt idx="2">
                  <c:v>Y 3</c:v>
                </c:pt>
                <c:pt idx="3">
                  <c:v>Y 4 </c:v>
                </c:pt>
                <c:pt idx="4">
                  <c:v>Y 5</c:v>
                </c:pt>
                <c:pt idx="5">
                  <c:v>M 1</c:v>
                </c:pt>
                <c:pt idx="6">
                  <c:v>M 2</c:v>
                </c:pt>
                <c:pt idx="7">
                  <c:v>M 3</c:v>
                </c:pt>
                <c:pt idx="8">
                  <c:v>M 4 </c:v>
                </c:pt>
                <c:pt idx="9">
                  <c:v>M 5</c:v>
                </c:pt>
                <c:pt idx="10">
                  <c:v>O 1</c:v>
                </c:pt>
                <c:pt idx="11">
                  <c:v>O 2</c:v>
                </c:pt>
                <c:pt idx="12">
                  <c:v>O 3</c:v>
                </c:pt>
                <c:pt idx="13">
                  <c:v>O 4 </c:v>
                </c:pt>
                <c:pt idx="14">
                  <c:v>O 5</c:v>
                </c:pt>
              </c:strCache>
            </c:strRef>
          </c:cat>
          <c:val>
            <c:numRef>
              <c:f>'1'!$BE$24:$BS$24</c:f>
              <c:numCache>
                <c:formatCode>General</c:formatCode>
                <c:ptCount val="15"/>
                <c:pt idx="0">
                  <c:v>65</c:v>
                </c:pt>
                <c:pt idx="1">
                  <c:v>167</c:v>
                </c:pt>
                <c:pt idx="2">
                  <c:v>257</c:v>
                </c:pt>
                <c:pt idx="3">
                  <c:v>275</c:v>
                </c:pt>
                <c:pt idx="4">
                  <c:v>298</c:v>
                </c:pt>
                <c:pt idx="5">
                  <c:v>3</c:v>
                </c:pt>
                <c:pt idx="6">
                  <c:v>54</c:v>
                </c:pt>
                <c:pt idx="7">
                  <c:v>193</c:v>
                </c:pt>
                <c:pt idx="8">
                  <c:v>216</c:v>
                </c:pt>
                <c:pt idx="9">
                  <c:v>233</c:v>
                </c:pt>
                <c:pt idx="10">
                  <c:v>38</c:v>
                </c:pt>
                <c:pt idx="11">
                  <c:v>124</c:v>
                </c:pt>
                <c:pt idx="12">
                  <c:v>289</c:v>
                </c:pt>
                <c:pt idx="13">
                  <c:v>307</c:v>
                </c:pt>
                <c:pt idx="14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7-4118-8EEC-84E59AFA1D32}"/>
            </c:ext>
          </c:extLst>
        </c:ser>
        <c:ser>
          <c:idx val="1"/>
          <c:order val="1"/>
          <c:tx>
            <c:strRef>
              <c:f>'1'!$BD$25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'1'!$BE$23:$BS$23</c:f>
              <c:strCache>
                <c:ptCount val="15"/>
                <c:pt idx="0">
                  <c:v>Y 1</c:v>
                </c:pt>
                <c:pt idx="1">
                  <c:v>Y 2</c:v>
                </c:pt>
                <c:pt idx="2">
                  <c:v>Y 3</c:v>
                </c:pt>
                <c:pt idx="3">
                  <c:v>Y 4 </c:v>
                </c:pt>
                <c:pt idx="4">
                  <c:v>Y 5</c:v>
                </c:pt>
                <c:pt idx="5">
                  <c:v>M 1</c:v>
                </c:pt>
                <c:pt idx="6">
                  <c:v>M 2</c:v>
                </c:pt>
                <c:pt idx="7">
                  <c:v>M 3</c:v>
                </c:pt>
                <c:pt idx="8">
                  <c:v>M 4 </c:v>
                </c:pt>
                <c:pt idx="9">
                  <c:v>M 5</c:v>
                </c:pt>
                <c:pt idx="10">
                  <c:v>O 1</c:v>
                </c:pt>
                <c:pt idx="11">
                  <c:v>O 2</c:v>
                </c:pt>
                <c:pt idx="12">
                  <c:v>O 3</c:v>
                </c:pt>
                <c:pt idx="13">
                  <c:v>O 4 </c:v>
                </c:pt>
                <c:pt idx="14">
                  <c:v>O 5</c:v>
                </c:pt>
              </c:strCache>
            </c:strRef>
          </c:cat>
          <c:val>
            <c:numRef>
              <c:f>'1'!$BE$25:$BS$25</c:f>
              <c:numCache>
                <c:formatCode>General</c:formatCode>
                <c:ptCount val="15"/>
                <c:pt idx="0">
                  <c:v>63.5</c:v>
                </c:pt>
                <c:pt idx="1">
                  <c:v>67</c:v>
                </c:pt>
                <c:pt idx="2">
                  <c:v>105.5</c:v>
                </c:pt>
                <c:pt idx="3">
                  <c:v>54.5</c:v>
                </c:pt>
                <c:pt idx="4">
                  <c:v>39</c:v>
                </c:pt>
                <c:pt idx="5">
                  <c:v>21.5</c:v>
                </c:pt>
                <c:pt idx="6">
                  <c:v>29.5</c:v>
                </c:pt>
                <c:pt idx="7">
                  <c:v>91</c:v>
                </c:pt>
                <c:pt idx="8">
                  <c:v>33.5</c:v>
                </c:pt>
                <c:pt idx="9">
                  <c:v>23.5</c:v>
                </c:pt>
                <c:pt idx="10">
                  <c:v>33</c:v>
                </c:pt>
                <c:pt idx="11">
                  <c:v>85</c:v>
                </c:pt>
                <c:pt idx="12">
                  <c:v>47.5</c:v>
                </c:pt>
                <c:pt idx="13">
                  <c:v>33</c:v>
                </c:pt>
                <c:pt idx="14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7-4118-8EEC-84E59AFA1D32}"/>
            </c:ext>
          </c:extLst>
        </c:ser>
        <c:ser>
          <c:idx val="2"/>
          <c:order val="2"/>
          <c:tx>
            <c:strRef>
              <c:f>'1'!$BD$26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'1'!$BE$23:$BS$23</c:f>
              <c:strCache>
                <c:ptCount val="15"/>
                <c:pt idx="0">
                  <c:v>Y 1</c:v>
                </c:pt>
                <c:pt idx="1">
                  <c:v>Y 2</c:v>
                </c:pt>
                <c:pt idx="2">
                  <c:v>Y 3</c:v>
                </c:pt>
                <c:pt idx="3">
                  <c:v>Y 4 </c:v>
                </c:pt>
                <c:pt idx="4">
                  <c:v>Y 5</c:v>
                </c:pt>
                <c:pt idx="5">
                  <c:v>M 1</c:v>
                </c:pt>
                <c:pt idx="6">
                  <c:v>M 2</c:v>
                </c:pt>
                <c:pt idx="7">
                  <c:v>M 3</c:v>
                </c:pt>
                <c:pt idx="8">
                  <c:v>M 4 </c:v>
                </c:pt>
                <c:pt idx="9">
                  <c:v>M 5</c:v>
                </c:pt>
                <c:pt idx="10">
                  <c:v>O 1</c:v>
                </c:pt>
                <c:pt idx="11">
                  <c:v>O 2</c:v>
                </c:pt>
                <c:pt idx="12">
                  <c:v>O 3</c:v>
                </c:pt>
                <c:pt idx="13">
                  <c:v>O 4 </c:v>
                </c:pt>
                <c:pt idx="14">
                  <c:v>O 5</c:v>
                </c:pt>
              </c:strCache>
            </c:strRef>
          </c:cat>
          <c:val>
            <c:numRef>
              <c:f>'1'!$BE$26:$BS$26</c:f>
              <c:numCache>
                <c:formatCode>General</c:formatCode>
                <c:ptCount val="15"/>
                <c:pt idx="0">
                  <c:v>101.5</c:v>
                </c:pt>
                <c:pt idx="1">
                  <c:v>44</c:v>
                </c:pt>
                <c:pt idx="2">
                  <c:v>38.5</c:v>
                </c:pt>
                <c:pt idx="3">
                  <c:v>52.5</c:v>
                </c:pt>
                <c:pt idx="4">
                  <c:v>30</c:v>
                </c:pt>
                <c:pt idx="5">
                  <c:v>9.5</c:v>
                </c:pt>
                <c:pt idx="6">
                  <c:v>32.5</c:v>
                </c:pt>
                <c:pt idx="7">
                  <c:v>23</c:v>
                </c:pt>
                <c:pt idx="8">
                  <c:v>11.5</c:v>
                </c:pt>
                <c:pt idx="9">
                  <c:v>16.5</c:v>
                </c:pt>
                <c:pt idx="10">
                  <c:v>12</c:v>
                </c:pt>
                <c:pt idx="11">
                  <c:v>38</c:v>
                </c:pt>
                <c:pt idx="12">
                  <c:v>28.5</c:v>
                </c:pt>
                <c:pt idx="13">
                  <c:v>40</c:v>
                </c:pt>
                <c:pt idx="14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A7-4118-8EEC-84E59AFA1D32}"/>
            </c:ext>
          </c:extLst>
        </c:ser>
        <c:ser>
          <c:idx val="3"/>
          <c:order val="3"/>
          <c:tx>
            <c:strRef>
              <c:f>'1'!$BD$27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'1'!$BE$28:$BS$28</c:f>
                <c:numCache>
                  <c:formatCode>General</c:formatCode>
                  <c:ptCount val="15"/>
                  <c:pt idx="0">
                    <c:v>5.5</c:v>
                  </c:pt>
                  <c:pt idx="1">
                    <c:v>18</c:v>
                  </c:pt>
                  <c:pt idx="2">
                    <c:v>14.5</c:v>
                  </c:pt>
                  <c:pt idx="3">
                    <c:v>20.5</c:v>
                  </c:pt>
                  <c:pt idx="4">
                    <c:v>28.5</c:v>
                  </c:pt>
                  <c:pt idx="5">
                    <c:v>152.5</c:v>
                  </c:pt>
                  <c:pt idx="6">
                    <c:v>9.5</c:v>
                  </c:pt>
                  <c:pt idx="7">
                    <c:v>60.5</c:v>
                  </c:pt>
                  <c:pt idx="8">
                    <c:v>99.5</c:v>
                  </c:pt>
                  <c:pt idx="9">
                    <c:v>130</c:v>
                  </c:pt>
                  <c:pt idx="10">
                    <c:v>10</c:v>
                  </c:pt>
                  <c:pt idx="11">
                    <c:v>55.5</c:v>
                  </c:pt>
                  <c:pt idx="12">
                    <c:v>76.5</c:v>
                  </c:pt>
                  <c:pt idx="13">
                    <c:v>65</c:v>
                  </c:pt>
                  <c:pt idx="14">
                    <c:v>42</c:v>
                  </c:pt>
                </c:numCache>
              </c:numRef>
            </c:plus>
          </c:errBars>
          <c:cat>
            <c:strRef>
              <c:f>'1'!$BE$23:$BS$23</c:f>
              <c:strCache>
                <c:ptCount val="15"/>
                <c:pt idx="0">
                  <c:v>Y 1</c:v>
                </c:pt>
                <c:pt idx="1">
                  <c:v>Y 2</c:v>
                </c:pt>
                <c:pt idx="2">
                  <c:v>Y 3</c:v>
                </c:pt>
                <c:pt idx="3">
                  <c:v>Y 4 </c:v>
                </c:pt>
                <c:pt idx="4">
                  <c:v>Y 5</c:v>
                </c:pt>
                <c:pt idx="5">
                  <c:v>M 1</c:v>
                </c:pt>
                <c:pt idx="6">
                  <c:v>M 2</c:v>
                </c:pt>
                <c:pt idx="7">
                  <c:v>M 3</c:v>
                </c:pt>
                <c:pt idx="8">
                  <c:v>M 4 </c:v>
                </c:pt>
                <c:pt idx="9">
                  <c:v>M 5</c:v>
                </c:pt>
                <c:pt idx="10">
                  <c:v>O 1</c:v>
                </c:pt>
                <c:pt idx="11">
                  <c:v>O 2</c:v>
                </c:pt>
                <c:pt idx="12">
                  <c:v>O 3</c:v>
                </c:pt>
                <c:pt idx="13">
                  <c:v>O 4 </c:v>
                </c:pt>
                <c:pt idx="14">
                  <c:v>O 5</c:v>
                </c:pt>
              </c:strCache>
            </c:strRef>
          </c:cat>
          <c:val>
            <c:numRef>
              <c:f>'1'!$BE$27:$BS$27</c:f>
              <c:numCache>
                <c:formatCode>General</c:formatCode>
                <c:ptCount val="15"/>
                <c:pt idx="0">
                  <c:v>15.5</c:v>
                </c:pt>
                <c:pt idx="1">
                  <c:v>18</c:v>
                </c:pt>
                <c:pt idx="2">
                  <c:v>26.5</c:v>
                </c:pt>
                <c:pt idx="3">
                  <c:v>18.5</c:v>
                </c:pt>
                <c:pt idx="4">
                  <c:v>72.5</c:v>
                </c:pt>
                <c:pt idx="5">
                  <c:v>13.5</c:v>
                </c:pt>
                <c:pt idx="6">
                  <c:v>46.5</c:v>
                </c:pt>
                <c:pt idx="7">
                  <c:v>57.5</c:v>
                </c:pt>
                <c:pt idx="8">
                  <c:v>37.5</c:v>
                </c:pt>
                <c:pt idx="9">
                  <c:v>67</c:v>
                </c:pt>
                <c:pt idx="10">
                  <c:v>30</c:v>
                </c:pt>
                <c:pt idx="11">
                  <c:v>28.5</c:v>
                </c:pt>
                <c:pt idx="12">
                  <c:v>29.5</c:v>
                </c:pt>
                <c:pt idx="13">
                  <c:v>16</c:v>
                </c:pt>
                <c:pt idx="1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A7-4118-8EEC-84E59AFA1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8908248"/>
        <c:axId val="678909816"/>
      </c:barChart>
      <c:catAx>
        <c:axId val="678908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8909816"/>
        <c:crosses val="autoZero"/>
        <c:auto val="1"/>
        <c:lblAlgn val="ctr"/>
        <c:lblOffset val="100"/>
        <c:noMultiLvlLbl val="0"/>
      </c:catAx>
      <c:valAx>
        <c:axId val="678909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8908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12</xdr:row>
      <xdr:rowOff>76200</xdr:rowOff>
    </xdr:from>
    <xdr:to>
      <xdr:col>14</xdr:col>
      <xdr:colOff>514350</xdr:colOff>
      <xdr:row>24</xdr:row>
      <xdr:rowOff>147636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992ADF-3C41-4FEB-99C7-F4E5D04B4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514350</xdr:colOff>
      <xdr:row>1</xdr:row>
      <xdr:rowOff>33337</xdr:rowOff>
    </xdr:from>
    <xdr:to>
      <xdr:col>69</xdr:col>
      <xdr:colOff>209550</xdr:colOff>
      <xdr:row>11</xdr:row>
      <xdr:rowOff>111442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C61F1F-1761-49CB-9D0C-69781D244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19050</xdr:colOff>
      <xdr:row>28</xdr:row>
      <xdr:rowOff>185737</xdr:rowOff>
    </xdr:from>
    <xdr:to>
      <xdr:col>62</xdr:col>
      <xdr:colOff>323850</xdr:colOff>
      <xdr:row>43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C196A3-AA38-4780-B6FF-B728EE009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ANOVA%202%2029%20January%202022.xlsx" TargetMode="External"/><Relationship Id="rId1" Type="http://schemas.openxmlformats.org/officeDocument/2006/relationships/externalLinkPath" Target="/38f5cd2f1f925cfd/Documenti/A%20Real%20Statistics%202020/Examples/Real%20Statistics%20Examples%20ANOVA%202%2029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Rand Anova"/>
      <sheetName val="Mixed"/>
      <sheetName val="Rand Anova 2"/>
      <sheetName val="Nested"/>
      <sheetName val="Nested 1 "/>
      <sheetName val="Nested 1a"/>
      <sheetName val="Nested 2"/>
      <sheetName val="RCBD"/>
      <sheetName val="RCBD 1"/>
      <sheetName val="RCBD 2"/>
      <sheetName val="RCBD 3"/>
      <sheetName val="RCBD 3A"/>
      <sheetName val="RCBD 4"/>
      <sheetName val="RCBD 5"/>
      <sheetName val="RCBD 6"/>
      <sheetName val="RCBD 7"/>
      <sheetName val="RCBD 8"/>
      <sheetName val="RCBD 9"/>
      <sheetName val="RCBD 10"/>
      <sheetName val="Split 1"/>
      <sheetName val="Split 2"/>
      <sheetName val="Split 3"/>
      <sheetName val="Split 4"/>
      <sheetName val="Split 5"/>
      <sheetName val="Latin"/>
      <sheetName val="Latin 1"/>
      <sheetName val="Latin 2"/>
      <sheetName val="Latin 3"/>
      <sheetName val="Latin 4"/>
      <sheetName val="Latin 5"/>
      <sheetName val="Fact 1"/>
      <sheetName val="Fact 2"/>
      <sheetName val="Fact 3"/>
      <sheetName val="Fact 4"/>
      <sheetName val="Fact 5"/>
      <sheetName val="Fact 6"/>
      <sheetName val="Fact 7"/>
      <sheetName val="ANOVA Match 1.1"/>
      <sheetName val="ANOVA Match 1.2"/>
      <sheetName val="ANOVA Match 1.2a"/>
      <sheetName val="ANOVA Match 1.3"/>
      <sheetName val="ANOVA Match 1.3a"/>
      <sheetName val="ANOVA Match 1.4"/>
      <sheetName val="ANOVA Match 1.5"/>
      <sheetName val="ANOVA Match 1.6"/>
      <sheetName val="ANOVA Match 2.1"/>
      <sheetName val="ANOVA Match 2.1a"/>
      <sheetName val="ANOVA Match 2.2"/>
      <sheetName val="ANOVA Match 2.3"/>
      <sheetName val="ANOVA Match 2.3A"/>
      <sheetName val="ANOVA Match 2.3B"/>
      <sheetName val="ANOVA Match 2.4"/>
      <sheetName val="ANOVA Match 2.5"/>
      <sheetName val="ANOVA Match 2.5A"/>
      <sheetName val="ANOVA Match 2.5B"/>
      <sheetName val="ANOVA Match 3A"/>
      <sheetName val="ANOVA Match 3B"/>
      <sheetName val="Friedman"/>
      <sheetName val="Friedman 1"/>
      <sheetName val="Cochran 1"/>
      <sheetName val="Cochran 2"/>
      <sheetName val="ANCOVA 1"/>
      <sheetName val="ANCOVA 2"/>
      <sheetName val="ANCOVA 3"/>
      <sheetName val="ANCOVA 4"/>
      <sheetName val="ANCOVA Contrasts"/>
      <sheetName val="ANCOVA Tukey"/>
      <sheetName val="ANCOVA Std"/>
      <sheetName val="ANCOVA Std 1"/>
      <sheetName val="ANCOVA A"/>
      <sheetName val="ANCOVA B"/>
      <sheetName val="ANCOVA C"/>
      <sheetName val="ANCOVA D"/>
      <sheetName val="ANCOVA E"/>
      <sheetName val="ANCOVA F"/>
      <sheetName val="ANCOVA G"/>
      <sheetName val="ANCOVA H"/>
      <sheetName val="ICC1"/>
      <sheetName val="ICC1a"/>
      <sheetName val="ICC2"/>
      <sheetName val="ICC3"/>
      <sheetName val="ICC4"/>
      <sheetName val="ICC5"/>
      <sheetName val="Stud. Q Table"/>
      <sheetName val="Stud. Q Tabl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5">
          <cell r="BI5" t="str">
            <v>Young</v>
          </cell>
          <cell r="BJ5" t="str">
            <v>Middle</v>
          </cell>
          <cell r="BK5" t="str">
            <v>Old</v>
          </cell>
        </row>
        <row r="6">
          <cell r="BH6" t="str">
            <v>Min</v>
          </cell>
          <cell r="BI6">
            <v>237</v>
          </cell>
          <cell r="BJ6">
            <v>155.19999999999999</v>
          </cell>
          <cell r="BK6">
            <v>249.8</v>
          </cell>
        </row>
        <row r="7">
          <cell r="BH7" t="str">
            <v>Q1-Min</v>
          </cell>
          <cell r="BI7">
            <v>37.100000000000023</v>
          </cell>
          <cell r="BJ7">
            <v>32.199999999999989</v>
          </cell>
          <cell r="BK7">
            <v>9.6999999999999886</v>
          </cell>
        </row>
        <row r="8">
          <cell r="J8" t="str">
            <v>Day 1</v>
          </cell>
          <cell r="K8" t="str">
            <v>Day 2</v>
          </cell>
          <cell r="L8" t="str">
            <v>Day 3</v>
          </cell>
          <cell r="M8" t="str">
            <v>Day 4</v>
          </cell>
          <cell r="N8" t="str">
            <v>Day 5</v>
          </cell>
          <cell r="BH8" t="str">
            <v>Med-Q1</v>
          </cell>
          <cell r="BI8">
            <v>57.699999999999989</v>
          </cell>
          <cell r="BJ8">
            <v>43.400000000000034</v>
          </cell>
          <cell r="BK8">
            <v>5.1000000000000227</v>
          </cell>
        </row>
        <row r="9">
          <cell r="I9" t="str">
            <v>Young</v>
          </cell>
          <cell r="J9">
            <v>184.85714285714286</v>
          </cell>
          <cell r="K9">
            <v>259.85714285714283</v>
          </cell>
          <cell r="L9">
            <v>382.85714285714283</v>
          </cell>
          <cell r="M9">
            <v>362.57142857142856</v>
          </cell>
          <cell r="N9">
            <v>383.71428571428572</v>
          </cell>
          <cell r="BH9" t="str">
            <v>Q3-Med</v>
          </cell>
          <cell r="BI9">
            <v>25.300000000000011</v>
          </cell>
          <cell r="BJ9">
            <v>9.0999999999999943</v>
          </cell>
          <cell r="BK9">
            <v>41.599999999999966</v>
          </cell>
        </row>
        <row r="10">
          <cell r="I10" t="str">
            <v>Middle</v>
          </cell>
          <cell r="J10">
            <v>54.428571428571431</v>
          </cell>
          <cell r="K10">
            <v>119.14285714285714</v>
          </cell>
          <cell r="L10">
            <v>317.42857142857144</v>
          </cell>
          <cell r="M10">
            <v>281.57142857142856</v>
          </cell>
          <cell r="N10">
            <v>309.85714285714283</v>
          </cell>
          <cell r="BI10">
            <v>15.099999999999966</v>
          </cell>
          <cell r="BJ10">
            <v>34.900000000000006</v>
          </cell>
          <cell r="BK10">
            <v>47.199999999999989</v>
          </cell>
        </row>
        <row r="11">
          <cell r="I11" t="str">
            <v>Old</v>
          </cell>
          <cell r="J11">
            <v>87.428571428571431</v>
          </cell>
          <cell r="K11">
            <v>238.71428571428572</v>
          </cell>
          <cell r="L11">
            <v>369.57142857142856</v>
          </cell>
          <cell r="M11">
            <v>374.28571428571428</v>
          </cell>
          <cell r="N11">
            <v>358</v>
          </cell>
        </row>
        <row r="23">
          <cell r="BE23" t="str">
            <v>Y 1</v>
          </cell>
          <cell r="BF23" t="str">
            <v>Y 2</v>
          </cell>
          <cell r="BG23" t="str">
            <v>Y 3</v>
          </cell>
          <cell r="BH23" t="str">
            <v xml:space="preserve">Y 4 </v>
          </cell>
          <cell r="BI23" t="str">
            <v>Y 5</v>
          </cell>
          <cell r="BJ23" t="str">
            <v>M 1</v>
          </cell>
          <cell r="BK23" t="str">
            <v>M 2</v>
          </cell>
          <cell r="BL23" t="str">
            <v>M 3</v>
          </cell>
          <cell r="BM23" t="str">
            <v xml:space="preserve">M 4 </v>
          </cell>
          <cell r="BN23" t="str">
            <v>M 5</v>
          </cell>
          <cell r="BO23" t="str">
            <v>O 1</v>
          </cell>
          <cell r="BP23" t="str">
            <v>O 2</v>
          </cell>
          <cell r="BQ23" t="str">
            <v>O 3</v>
          </cell>
          <cell r="BR23" t="str">
            <v xml:space="preserve">O 4 </v>
          </cell>
          <cell r="BS23" t="str">
            <v>O 5</v>
          </cell>
        </row>
        <row r="24">
          <cell r="BD24" t="str">
            <v>Min</v>
          </cell>
          <cell r="BE24">
            <v>65</v>
          </cell>
          <cell r="BF24">
            <v>167</v>
          </cell>
          <cell r="BG24">
            <v>257</v>
          </cell>
          <cell r="BH24">
            <v>275</v>
          </cell>
          <cell r="BI24">
            <v>298</v>
          </cell>
          <cell r="BJ24">
            <v>3</v>
          </cell>
          <cell r="BK24">
            <v>54</v>
          </cell>
          <cell r="BL24">
            <v>193</v>
          </cell>
          <cell r="BM24">
            <v>216</v>
          </cell>
          <cell r="BN24">
            <v>233</v>
          </cell>
          <cell r="BO24">
            <v>38</v>
          </cell>
          <cell r="BP24">
            <v>124</v>
          </cell>
          <cell r="BQ24">
            <v>289</v>
          </cell>
          <cell r="BR24">
            <v>307</v>
          </cell>
          <cell r="BS24">
            <v>295</v>
          </cell>
        </row>
        <row r="25">
          <cell r="BD25" t="str">
            <v>Q1-Min</v>
          </cell>
          <cell r="BE25">
            <v>63.5</v>
          </cell>
          <cell r="BF25">
            <v>67</v>
          </cell>
          <cell r="BG25">
            <v>105.5</v>
          </cell>
          <cell r="BH25">
            <v>54.5</v>
          </cell>
          <cell r="BI25">
            <v>39</v>
          </cell>
          <cell r="BJ25">
            <v>21.5</v>
          </cell>
          <cell r="BK25">
            <v>29.5</v>
          </cell>
          <cell r="BL25">
            <v>91</v>
          </cell>
          <cell r="BM25">
            <v>33.5</v>
          </cell>
          <cell r="BN25">
            <v>23.5</v>
          </cell>
          <cell r="BO25">
            <v>33</v>
          </cell>
          <cell r="BP25">
            <v>85</v>
          </cell>
          <cell r="BQ25">
            <v>47.5</v>
          </cell>
          <cell r="BR25">
            <v>33</v>
          </cell>
          <cell r="BS25">
            <v>19.5</v>
          </cell>
        </row>
        <row r="26">
          <cell r="BD26" t="str">
            <v>Med-Q1</v>
          </cell>
          <cell r="BE26">
            <v>101.5</v>
          </cell>
          <cell r="BF26">
            <v>44</v>
          </cell>
          <cell r="BG26">
            <v>38.5</v>
          </cell>
          <cell r="BH26">
            <v>52.5</v>
          </cell>
          <cell r="BI26">
            <v>30</v>
          </cell>
          <cell r="BJ26">
            <v>9.5</v>
          </cell>
          <cell r="BK26">
            <v>32.5</v>
          </cell>
          <cell r="BL26">
            <v>23</v>
          </cell>
          <cell r="BM26">
            <v>11.5</v>
          </cell>
          <cell r="BN26">
            <v>16.5</v>
          </cell>
          <cell r="BO26">
            <v>12</v>
          </cell>
          <cell r="BP26">
            <v>38</v>
          </cell>
          <cell r="BQ26">
            <v>28.5</v>
          </cell>
          <cell r="BR26">
            <v>40</v>
          </cell>
          <cell r="BS26">
            <v>16.5</v>
          </cell>
        </row>
        <row r="27">
          <cell r="BD27" t="str">
            <v>Q3-Med</v>
          </cell>
          <cell r="BE27">
            <v>15.5</v>
          </cell>
          <cell r="BF27">
            <v>18</v>
          </cell>
          <cell r="BG27">
            <v>26.5</v>
          </cell>
          <cell r="BH27">
            <v>18.5</v>
          </cell>
          <cell r="BI27">
            <v>72.5</v>
          </cell>
          <cell r="BJ27">
            <v>13.5</v>
          </cell>
          <cell r="BK27">
            <v>46.5</v>
          </cell>
          <cell r="BL27">
            <v>57.5</v>
          </cell>
          <cell r="BM27">
            <v>37.5</v>
          </cell>
          <cell r="BN27">
            <v>67</v>
          </cell>
          <cell r="BO27">
            <v>30</v>
          </cell>
          <cell r="BP27">
            <v>28.5</v>
          </cell>
          <cell r="BQ27">
            <v>29.5</v>
          </cell>
          <cell r="BR27">
            <v>16</v>
          </cell>
          <cell r="BS27">
            <v>72</v>
          </cell>
        </row>
        <row r="28">
          <cell r="BE28">
            <v>5.5</v>
          </cell>
          <cell r="BF28">
            <v>18</v>
          </cell>
          <cell r="BG28">
            <v>14.5</v>
          </cell>
          <cell r="BH28">
            <v>20.5</v>
          </cell>
          <cell r="BI28">
            <v>28.5</v>
          </cell>
          <cell r="BJ28">
            <v>152.5</v>
          </cell>
          <cell r="BK28">
            <v>9.5</v>
          </cell>
          <cell r="BL28">
            <v>60.5</v>
          </cell>
          <cell r="BM28">
            <v>99.5</v>
          </cell>
          <cell r="BN28">
            <v>130</v>
          </cell>
          <cell r="BO28">
            <v>10</v>
          </cell>
          <cell r="BP28">
            <v>55.5</v>
          </cell>
          <cell r="BQ28">
            <v>76.5</v>
          </cell>
          <cell r="BR28">
            <v>65</v>
          </cell>
          <cell r="BS28">
            <v>42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1D75-A947-419E-A485-F998A3EC828D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170</v>
      </c>
    </row>
    <row r="2" spans="1:13" x14ac:dyDescent="0.35">
      <c r="A2" t="s">
        <v>173</v>
      </c>
    </row>
    <row r="4" spans="1:13" x14ac:dyDescent="0.35">
      <c r="A4" t="s">
        <v>171</v>
      </c>
      <c r="B4" s="51">
        <v>45485</v>
      </c>
    </row>
    <row r="6" spans="1:13" x14ac:dyDescent="0.35">
      <c r="A6" s="52" t="s">
        <v>172</v>
      </c>
    </row>
    <row r="10" spans="1:13" ht="18.5" x14ac:dyDescent="0.45">
      <c r="M10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7787-24B4-47DE-BB65-B5D1A237C38A}">
  <dimension ref="A1:CS104"/>
  <sheetViews>
    <sheetView workbookViewId="0"/>
  </sheetViews>
  <sheetFormatPr defaultRowHeight="14.5" x14ac:dyDescent="0.35"/>
  <cols>
    <col min="1" max="1" width="7.26953125" customWidth="1"/>
    <col min="2" max="7" width="6.54296875" customWidth="1"/>
    <col min="8" max="8" width="4.7265625" customWidth="1"/>
    <col min="10" max="15" width="9.1796875" customWidth="1"/>
    <col min="17" max="17" width="17.26953125" customWidth="1"/>
    <col min="18" max="19" width="9.1796875" customWidth="1"/>
    <col min="23" max="23" width="20.54296875" customWidth="1"/>
    <col min="28" max="28" width="9.1796875" customWidth="1"/>
    <col min="35" max="35" width="17.1796875" customWidth="1"/>
    <col min="40" max="40" width="8.7265625" customWidth="1"/>
    <col min="49" max="49" width="6.54296875" customWidth="1"/>
    <col min="50" max="50" width="16.453125" customWidth="1"/>
    <col min="51" max="51" width="10" bestFit="1" customWidth="1"/>
    <col min="52" max="52" width="10.1796875" customWidth="1"/>
    <col min="53" max="53" width="16.453125" customWidth="1"/>
    <col min="72" max="72" width="7" customWidth="1"/>
    <col min="76" max="76" width="3.7265625" style="2" customWidth="1"/>
    <col min="77" max="79" width="8.7265625" style="2"/>
    <col min="80" max="80" width="3.7265625" customWidth="1"/>
    <col min="81" max="81" width="16.81640625" customWidth="1"/>
    <col min="89" max="89" width="10.453125" customWidth="1"/>
    <col min="90" max="90" width="11" customWidth="1"/>
    <col min="93" max="97" width="11.54296875" customWidth="1"/>
  </cols>
  <sheetData>
    <row r="1" spans="1:97" x14ac:dyDescent="0.35">
      <c r="A1" s="1" t="s">
        <v>0</v>
      </c>
    </row>
    <row r="3" spans="1:97" x14ac:dyDescent="0.3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I3" t="s">
        <v>8</v>
      </c>
      <c r="Q3" t="s">
        <v>9</v>
      </c>
      <c r="AI3" t="s">
        <v>10</v>
      </c>
      <c r="AQ3" t="s">
        <v>11</v>
      </c>
      <c r="AX3" t="s">
        <v>12</v>
      </c>
      <c r="BD3" t="s">
        <v>13</v>
      </c>
      <c r="BU3" t="s">
        <v>14</v>
      </c>
      <c r="CK3" t="s">
        <v>15</v>
      </c>
      <c r="CO3" s="5" t="s">
        <v>16</v>
      </c>
      <c r="CP3" s="5" t="s">
        <v>17</v>
      </c>
      <c r="CQ3" s="5" t="s">
        <v>18</v>
      </c>
      <c r="CR3" s="5" t="s">
        <v>19</v>
      </c>
      <c r="CS3" s="5" t="s">
        <v>20</v>
      </c>
    </row>
    <row r="4" spans="1:97" ht="15" thickBot="1" x14ac:dyDescent="0.4">
      <c r="A4" s="6" t="s">
        <v>21</v>
      </c>
      <c r="B4" s="7">
        <v>250</v>
      </c>
      <c r="C4" s="8">
        <v>278</v>
      </c>
      <c r="D4" s="8">
        <v>442</v>
      </c>
      <c r="E4" s="8">
        <v>368</v>
      </c>
      <c r="F4" s="9">
        <v>456</v>
      </c>
      <c r="G4">
        <f>AVERAGE(B4:F4)</f>
        <v>358.8</v>
      </c>
      <c r="J4" s="10" t="s">
        <v>1</v>
      </c>
      <c r="K4" s="10" t="s">
        <v>22</v>
      </c>
      <c r="L4" s="10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W4" t="s">
        <v>28</v>
      </c>
      <c r="AE4" t="s">
        <v>29</v>
      </c>
      <c r="CN4" t="s">
        <v>21</v>
      </c>
      <c r="CO4" s="6" t="e">
        <f ca="1">MDETERM(AR15:AV19)</f>
        <v>#NAME?</v>
      </c>
      <c r="CP4" s="11" t="e">
        <f ca="1">LN(CO4)</f>
        <v>#NAME?</v>
      </c>
      <c r="CQ4" s="11" t="e">
        <f ca="1">CP4*($CL$7-1)</f>
        <v>#NAME?</v>
      </c>
      <c r="CR4" s="11">
        <f>1/($CL$7-1)</f>
        <v>0.16666666666666666</v>
      </c>
      <c r="CS4" s="12">
        <f>CR4^2</f>
        <v>2.7777777777777776E-2</v>
      </c>
    </row>
    <row r="5" spans="1:97" ht="15.5" thickTop="1" thickBot="1" x14ac:dyDescent="0.4">
      <c r="A5" s="13"/>
      <c r="B5" s="14">
        <v>65</v>
      </c>
      <c r="C5" s="15">
        <v>207</v>
      </c>
      <c r="D5" s="15">
        <v>341</v>
      </c>
      <c r="E5" s="15">
        <v>382</v>
      </c>
      <c r="F5" s="16">
        <v>298</v>
      </c>
      <c r="G5">
        <f t="shared" ref="G5:G24" si="0">AVERAGE(B5:F5)</f>
        <v>258.60000000000002</v>
      </c>
      <c r="J5" s="10">
        <f>COUNT(O9:O11)</f>
        <v>3</v>
      </c>
      <c r="K5" s="10">
        <f>COUNT(J12:N12)</f>
        <v>5</v>
      </c>
      <c r="L5" s="10">
        <f>COUNT(B4:B10)</f>
        <v>7</v>
      </c>
      <c r="Q5" s="17" t="s">
        <v>30</v>
      </c>
      <c r="R5" s="6">
        <v>1</v>
      </c>
      <c r="S5" s="11">
        <f>DEVSQ(B4:F24)</f>
        <v>1597343.4285714282</v>
      </c>
      <c r="T5" s="11">
        <f>J5*K5*L5-1</f>
        <v>104</v>
      </c>
      <c r="U5" s="12">
        <f t="shared" ref="U5:U13" si="1">S5/T5</f>
        <v>15359.071428571424</v>
      </c>
      <c r="W5" s="18" t="s">
        <v>31</v>
      </c>
      <c r="X5" s="18" t="s">
        <v>25</v>
      </c>
      <c r="Y5" s="18" t="s">
        <v>26</v>
      </c>
      <c r="Z5" s="18" t="s">
        <v>27</v>
      </c>
      <c r="AA5" s="18" t="s">
        <v>32</v>
      </c>
      <c r="AB5" s="18" t="s">
        <v>33</v>
      </c>
      <c r="AC5" s="19" t="s">
        <v>34</v>
      </c>
      <c r="AI5" t="s">
        <v>35</v>
      </c>
      <c r="AR5">
        <v>1</v>
      </c>
      <c r="AS5">
        <f>AR5+1</f>
        <v>2</v>
      </c>
      <c r="AT5">
        <f>AS5+1</f>
        <v>3</v>
      </c>
      <c r="AU5">
        <f>AT5+1</f>
        <v>4</v>
      </c>
      <c r="AV5">
        <f>AU5+1</f>
        <v>5</v>
      </c>
      <c r="AX5" t="s">
        <v>36</v>
      </c>
      <c r="AY5" s="20">
        <f>$K$5</f>
        <v>5</v>
      </c>
      <c r="BA5" t="s">
        <v>37</v>
      </c>
      <c r="BB5" s="20">
        <f>$L$5*$J$5</f>
        <v>21</v>
      </c>
      <c r="BD5" s="5" t="s">
        <v>21</v>
      </c>
      <c r="BE5" s="5" t="s">
        <v>38</v>
      </c>
      <c r="BF5" s="5" t="s">
        <v>39</v>
      </c>
      <c r="BI5" s="5" t="s">
        <v>21</v>
      </c>
      <c r="BJ5" s="5" t="s">
        <v>38</v>
      </c>
      <c r="BK5" s="5" t="s">
        <v>39</v>
      </c>
      <c r="BU5" t="s">
        <v>2</v>
      </c>
      <c r="CC5" t="s">
        <v>40</v>
      </c>
      <c r="CK5" t="s">
        <v>41</v>
      </c>
      <c r="CL5">
        <f>J5</f>
        <v>3</v>
      </c>
      <c r="CN5" t="s">
        <v>38</v>
      </c>
      <c r="CO5" s="13" t="e">
        <f ca="1">MDETERM(AR24:AV28)</f>
        <v>#NAME?</v>
      </c>
      <c r="CP5" t="e">
        <f ca="1">LN(CO5)</f>
        <v>#NAME?</v>
      </c>
      <c r="CQ5" t="e">
        <f ca="1">CP5*($CL$7-1)</f>
        <v>#NAME?</v>
      </c>
      <c r="CR5">
        <f>1/($CL$7-1)</f>
        <v>0.16666666666666666</v>
      </c>
      <c r="CS5" s="21">
        <f>CR5^2</f>
        <v>2.7777777777777776E-2</v>
      </c>
    </row>
    <row r="6" spans="1:97" x14ac:dyDescent="0.35">
      <c r="A6" s="13"/>
      <c r="B6" s="14">
        <v>251</v>
      </c>
      <c r="C6" s="15">
        <v>261</v>
      </c>
      <c r="D6" s="15">
        <v>384</v>
      </c>
      <c r="E6" s="15">
        <v>421</v>
      </c>
      <c r="F6" s="16">
        <v>342</v>
      </c>
      <c r="G6">
        <f t="shared" si="0"/>
        <v>331.8</v>
      </c>
      <c r="Q6" s="17" t="s">
        <v>1</v>
      </c>
      <c r="R6" s="13">
        <f>K5*L5</f>
        <v>35</v>
      </c>
      <c r="S6">
        <f>DEVSQ(O9:O11)*R6</f>
        <v>178358.11428571431</v>
      </c>
      <c r="T6">
        <f>J5-1</f>
        <v>2</v>
      </c>
      <c r="U6" s="21">
        <f t="shared" si="1"/>
        <v>89179.057142857157</v>
      </c>
      <c r="W6" t="s">
        <v>42</v>
      </c>
      <c r="X6">
        <f>S9</f>
        <v>371727.82857142854</v>
      </c>
      <c r="Y6">
        <f>T9</f>
        <v>20</v>
      </c>
      <c r="AE6" s="4" t="s">
        <v>21</v>
      </c>
      <c r="AF6" s="4" t="s">
        <v>38</v>
      </c>
      <c r="AG6" s="4" t="s">
        <v>39</v>
      </c>
      <c r="AH6" s="4"/>
      <c r="AI6" s="18" t="s">
        <v>31</v>
      </c>
      <c r="AJ6" s="18" t="s">
        <v>25</v>
      </c>
      <c r="AK6" s="18" t="s">
        <v>26</v>
      </c>
      <c r="AL6" s="18" t="s">
        <v>27</v>
      </c>
      <c r="AM6" s="18" t="s">
        <v>32</v>
      </c>
      <c r="AN6" s="18" t="s">
        <v>33</v>
      </c>
      <c r="AO6" s="18" t="s">
        <v>43</v>
      </c>
      <c r="AQ6" t="s">
        <v>30</v>
      </c>
      <c r="AR6" s="6" t="e">
        <f t="array" aca="1" ref="AR6:AV10" ca="1">COV(B4:F24)</f>
        <v>#NAME?</v>
      </c>
      <c r="AS6" s="11" t="e">
        <f ca="1"/>
        <v>#NAME?</v>
      </c>
      <c r="AT6" s="11" t="e">
        <f ca="1"/>
        <v>#NAME?</v>
      </c>
      <c r="AU6" s="11" t="e">
        <f ca="1"/>
        <v>#NAME?</v>
      </c>
      <c r="AV6" s="12" t="e">
        <f ca="1"/>
        <v>#NAME?</v>
      </c>
      <c r="AX6" t="s">
        <v>44</v>
      </c>
      <c r="AY6" s="25" t="e">
        <f ca="1">AVERAGE(AR12:AV12)</f>
        <v>#NAME?</v>
      </c>
      <c r="BA6" t="s">
        <v>36</v>
      </c>
      <c r="BB6" s="25">
        <f>AY5</f>
        <v>5</v>
      </c>
      <c r="BD6" s="6">
        <f t="shared" ref="BD6:BD12" si="2">G4</f>
        <v>358.8</v>
      </c>
      <c r="BE6" s="11">
        <f t="shared" ref="BE6:BE12" si="3">G11</f>
        <v>230.8</v>
      </c>
      <c r="BF6" s="12">
        <f t="shared" ref="BF6:BF12" si="4">G18</f>
        <v>249.8</v>
      </c>
      <c r="BH6" t="s">
        <v>45</v>
      </c>
      <c r="BI6">
        <f>MIN(BD6:BD12)</f>
        <v>237</v>
      </c>
      <c r="BJ6">
        <f>MIN(BE6:BE12)</f>
        <v>155.19999999999999</v>
      </c>
      <c r="BK6">
        <f>MIN(BF6:BF12)</f>
        <v>249.8</v>
      </c>
      <c r="CK6" t="s">
        <v>46</v>
      </c>
      <c r="CL6">
        <f>K5</f>
        <v>5</v>
      </c>
      <c r="CN6" t="s">
        <v>39</v>
      </c>
      <c r="CO6" s="13" t="e">
        <f ca="1">MDETERM(AR33:AV37)</f>
        <v>#NAME?</v>
      </c>
      <c r="CP6" t="e">
        <f ca="1">LN(CO6)</f>
        <v>#NAME?</v>
      </c>
      <c r="CQ6" t="e">
        <f ca="1">CP6*($CL$7-1)</f>
        <v>#NAME?</v>
      </c>
      <c r="CR6">
        <f>1/($CL$7-1)</f>
        <v>0.16666666666666666</v>
      </c>
      <c r="CS6" s="21">
        <f>CR6^2</f>
        <v>2.7777777777777776E-2</v>
      </c>
    </row>
    <row r="7" spans="1:97" ht="15" thickBot="1" x14ac:dyDescent="0.4">
      <c r="A7" s="13"/>
      <c r="B7" s="14">
        <v>241</v>
      </c>
      <c r="C7" s="15">
        <v>314</v>
      </c>
      <c r="D7" s="15">
        <v>423</v>
      </c>
      <c r="E7" s="15">
        <v>415</v>
      </c>
      <c r="F7" s="16">
        <v>468</v>
      </c>
      <c r="G7">
        <f t="shared" si="0"/>
        <v>372.2</v>
      </c>
      <c r="I7" s="17" t="s">
        <v>47</v>
      </c>
      <c r="Q7" s="17" t="s">
        <v>22</v>
      </c>
      <c r="R7" s="13">
        <f>J5*L5</f>
        <v>21</v>
      </c>
      <c r="S7">
        <f>DEVSQ(J12:N12)*R7</f>
        <v>1025800.38095238</v>
      </c>
      <c r="T7">
        <f>K5-1</f>
        <v>4</v>
      </c>
      <c r="U7" s="21">
        <f t="shared" si="1"/>
        <v>256450.095238095</v>
      </c>
      <c r="W7" t="s">
        <v>48</v>
      </c>
      <c r="X7">
        <f>S6</f>
        <v>178358.11428571431</v>
      </c>
      <c r="Y7">
        <f>T6</f>
        <v>2</v>
      </c>
      <c r="Z7">
        <f>X7/Y7</f>
        <v>89179.057142857157</v>
      </c>
      <c r="AA7">
        <f>Z7/Z8</f>
        <v>8.3013156145001332</v>
      </c>
      <c r="AB7">
        <f>FDIST(AA7,Y7,Y8)</f>
        <v>2.7891407228899608E-3</v>
      </c>
      <c r="AC7">
        <f>X7/X8</f>
        <v>0.92236840161112577</v>
      </c>
      <c r="AE7" s="6">
        <f t="shared" ref="AE7:AE13" si="5">G4</f>
        <v>358.8</v>
      </c>
      <c r="AF7" s="11">
        <f t="shared" ref="AF7:AF13" si="6">G11</f>
        <v>230.8</v>
      </c>
      <c r="AG7" s="12">
        <f t="shared" ref="AG7:AG13" si="7">G18</f>
        <v>249.8</v>
      </c>
      <c r="AI7" t="s">
        <v>49</v>
      </c>
      <c r="AJ7">
        <v>85072.171428571397</v>
      </c>
      <c r="AK7">
        <v>6</v>
      </c>
      <c r="AL7">
        <v>14178.695238095233</v>
      </c>
      <c r="AM7">
        <v>8.6115148903433116</v>
      </c>
      <c r="AN7">
        <v>4.7218804282676579E-5</v>
      </c>
      <c r="AO7">
        <v>2.5081888234232559</v>
      </c>
      <c r="AR7" s="13" t="e">
        <f ca="1"/>
        <v>#NAME?</v>
      </c>
      <c r="AS7" t="e">
        <f ca="1"/>
        <v>#NAME?</v>
      </c>
      <c r="AT7" t="e">
        <f ca="1"/>
        <v>#NAME?</v>
      </c>
      <c r="AU7" t="e">
        <f ca="1"/>
        <v>#NAME?</v>
      </c>
      <c r="AV7" s="21" t="e">
        <f ca="1"/>
        <v>#NAME?</v>
      </c>
      <c r="AX7" t="s">
        <v>50</v>
      </c>
      <c r="AY7" s="25" t="e">
        <f ca="1">AVERAGE(AR6:AV10)</f>
        <v>#NAME?</v>
      </c>
      <c r="BA7" t="s">
        <v>51</v>
      </c>
      <c r="BB7" s="25" t="e">
        <f ca="1">AY12</f>
        <v>#NAME?</v>
      </c>
      <c r="BD7" s="13">
        <f t="shared" si="2"/>
        <v>258.60000000000002</v>
      </c>
      <c r="BE7">
        <f t="shared" si="3"/>
        <v>245.4</v>
      </c>
      <c r="BF7" s="21">
        <f t="shared" si="4"/>
        <v>279</v>
      </c>
      <c r="BH7" t="s">
        <v>52</v>
      </c>
      <c r="BI7">
        <f>QUARTILE(BD6:BD12,1)-BI6</f>
        <v>37.100000000000023</v>
      </c>
      <c r="BJ7">
        <f>QUARTILE(BE6:BE12,1)-BJ6</f>
        <v>32.199999999999989</v>
      </c>
      <c r="BK7">
        <f>QUARTILE(BF6:BF12,1)-BK6</f>
        <v>9.6999999999999886</v>
      </c>
      <c r="BU7" s="5" t="s">
        <v>21</v>
      </c>
      <c r="BV7" s="5" t="s">
        <v>38</v>
      </c>
      <c r="BW7" s="5" t="s">
        <v>39</v>
      </c>
      <c r="BX7" s="26"/>
      <c r="BY7" s="5" t="s">
        <v>21</v>
      </c>
      <c r="BZ7" s="5" t="s">
        <v>38</v>
      </c>
      <c r="CA7" s="5" t="s">
        <v>39</v>
      </c>
      <c r="CC7" t="s">
        <v>53</v>
      </c>
      <c r="CK7" t="s">
        <v>54</v>
      </c>
      <c r="CL7">
        <f>L5</f>
        <v>7</v>
      </c>
      <c r="CN7" t="s">
        <v>55</v>
      </c>
      <c r="CO7" s="22" t="e">
        <f ca="1">MDETERM(AR51:AV55)</f>
        <v>#NAME?</v>
      </c>
      <c r="CP7" s="23" t="e">
        <f ca="1">LN(CO7)</f>
        <v>#NAME?</v>
      </c>
      <c r="CQ7" s="23" t="e">
        <f ca="1">CP7*(CL8-CL5)</f>
        <v>#NAME?</v>
      </c>
      <c r="CR7" s="23">
        <f>1/(CL8-CL5)</f>
        <v>5.5555555555555552E-2</v>
      </c>
      <c r="CS7" s="24">
        <f>CR7^2</f>
        <v>3.0864197530864196E-3</v>
      </c>
    </row>
    <row r="8" spans="1:97" x14ac:dyDescent="0.35">
      <c r="A8" s="13"/>
      <c r="B8" s="14">
        <v>154</v>
      </c>
      <c r="C8" s="15">
        <v>167</v>
      </c>
      <c r="D8" s="15">
        <v>257</v>
      </c>
      <c r="E8" s="15">
        <v>275</v>
      </c>
      <c r="F8" s="16">
        <v>332</v>
      </c>
      <c r="G8">
        <f t="shared" si="0"/>
        <v>237</v>
      </c>
      <c r="J8" s="4" t="s">
        <v>2</v>
      </c>
      <c r="K8" s="4" t="s">
        <v>3</v>
      </c>
      <c r="L8" s="4" t="s">
        <v>4</v>
      </c>
      <c r="M8" s="4" t="s">
        <v>5</v>
      </c>
      <c r="N8" s="4" t="s">
        <v>6</v>
      </c>
      <c r="Q8" s="17" t="s">
        <v>56</v>
      </c>
      <c r="R8" s="13">
        <f>L5</f>
        <v>7</v>
      </c>
      <c r="S8">
        <f>DEVSQ(J9:N11)*R8</f>
        <v>1242898.5714285714</v>
      </c>
      <c r="T8">
        <f>J5*K5-1</f>
        <v>14</v>
      </c>
      <c r="U8" s="21">
        <f t="shared" si="1"/>
        <v>88778.469387755104</v>
      </c>
      <c r="W8" t="s">
        <v>57</v>
      </c>
      <c r="X8">
        <f>S12</f>
        <v>193369.71428571423</v>
      </c>
      <c r="Y8">
        <f>T12</f>
        <v>18</v>
      </c>
      <c r="Z8">
        <f>X8/Y8</f>
        <v>10742.761904761901</v>
      </c>
      <c r="AE8" s="13">
        <f t="shared" si="5"/>
        <v>258.60000000000002</v>
      </c>
      <c r="AF8">
        <f t="shared" si="6"/>
        <v>245.4</v>
      </c>
      <c r="AG8" s="21">
        <f t="shared" si="7"/>
        <v>279</v>
      </c>
      <c r="AI8" t="s">
        <v>58</v>
      </c>
      <c r="AJ8">
        <v>220968.45714285711</v>
      </c>
      <c r="AK8">
        <v>4</v>
      </c>
      <c r="AL8">
        <v>55242.114285714277</v>
      </c>
      <c r="AM8">
        <v>33.551626701681158</v>
      </c>
      <c r="AN8">
        <v>1.6606146059093755E-9</v>
      </c>
      <c r="AO8">
        <v>2.7762892892514786</v>
      </c>
      <c r="AR8" s="13" t="e">
        <f ca="1"/>
        <v>#NAME?</v>
      </c>
      <c r="AS8" t="e">
        <f ca="1"/>
        <v>#NAME?</v>
      </c>
      <c r="AT8" t="e">
        <f ca="1"/>
        <v>#NAME?</v>
      </c>
      <c r="AU8" t="e">
        <f ca="1"/>
        <v>#NAME?</v>
      </c>
      <c r="AV8" s="21" t="e">
        <f ca="1"/>
        <v>#NAME?</v>
      </c>
      <c r="AX8" t="s">
        <v>59</v>
      </c>
      <c r="AY8" s="25" t="e">
        <f ca="1">SUMSQ(AR6:AV10)</f>
        <v>#NAME?</v>
      </c>
      <c r="BA8" t="s">
        <v>60</v>
      </c>
      <c r="BB8" s="25" t="e">
        <f ca="1">BB5*(BB6-1)*BB7-2</f>
        <v>#NAME?</v>
      </c>
      <c r="BD8" s="13">
        <f t="shared" si="2"/>
        <v>331.8</v>
      </c>
      <c r="BE8">
        <f t="shared" si="3"/>
        <v>274.8</v>
      </c>
      <c r="BF8" s="21">
        <f t="shared" si="4"/>
        <v>258.39999999999998</v>
      </c>
      <c r="BH8" t="s">
        <v>61</v>
      </c>
      <c r="BI8">
        <f>MEDIAN(BD6:BD12)-QUARTILE(BD6:BD12,1)</f>
        <v>57.699999999999989</v>
      </c>
      <c r="BJ8">
        <f>MEDIAN(BE6:BE12)-QUARTILE(BE6:BE12,1)</f>
        <v>43.400000000000034</v>
      </c>
      <c r="BK8">
        <f>MEDIAN(BF6:BF12)-QUARTILE(BF6:BF12,1)</f>
        <v>5.1000000000000227</v>
      </c>
      <c r="BU8" s="6">
        <f t="shared" ref="BU8:BU14" si="8">B4</f>
        <v>250</v>
      </c>
      <c r="BV8" s="11">
        <f t="shared" ref="BV8:BV14" si="9">B11</f>
        <v>54</v>
      </c>
      <c r="BW8" s="12">
        <f t="shared" ref="BW8:BW14" si="10">B18</f>
        <v>118</v>
      </c>
      <c r="BY8" s="6">
        <f>ABS(BU8-$BU$15)</f>
        <v>65.142857142857139</v>
      </c>
      <c r="BZ8" s="11">
        <f>ABS(BV8-BV$15)</f>
        <v>0.4285714285714306</v>
      </c>
      <c r="CA8" s="12">
        <f>ABS(BW8-BW$15)</f>
        <v>30.571428571428569</v>
      </c>
      <c r="CC8" s="18" t="s">
        <v>62</v>
      </c>
      <c r="CD8" s="18" t="s">
        <v>63</v>
      </c>
      <c r="CE8" s="18" t="s">
        <v>64</v>
      </c>
      <c r="CF8" s="18" t="s">
        <v>65</v>
      </c>
      <c r="CG8" s="18" t="s">
        <v>66</v>
      </c>
      <c r="CK8" t="s">
        <v>67</v>
      </c>
      <c r="CL8">
        <f>CL5*CL7</f>
        <v>21</v>
      </c>
      <c r="CN8" t="s">
        <v>68</v>
      </c>
      <c r="CQ8" s="27" t="e">
        <f ca="1">CQ7-SUM(CQ4:CQ6)</f>
        <v>#NAME?</v>
      </c>
      <c r="CR8">
        <f>SUM(CR4:CR6)-CR7</f>
        <v>0.44444444444444442</v>
      </c>
      <c r="CS8">
        <f>SUM(CS4:CS6)-CS7</f>
        <v>8.0246913580246909E-2</v>
      </c>
    </row>
    <row r="9" spans="1:97" x14ac:dyDescent="0.35">
      <c r="A9" s="13"/>
      <c r="B9" s="14">
        <v>103</v>
      </c>
      <c r="C9" s="15">
        <v>286</v>
      </c>
      <c r="D9" s="15">
        <v>401</v>
      </c>
      <c r="E9" s="15">
        <v>291</v>
      </c>
      <c r="F9" s="16">
        <v>367</v>
      </c>
      <c r="G9">
        <f t="shared" si="0"/>
        <v>289.60000000000002</v>
      </c>
      <c r="I9" t="s">
        <v>21</v>
      </c>
      <c r="J9" s="6">
        <f>AVERAGE(B4:B10)</f>
        <v>184.85714285714286</v>
      </c>
      <c r="K9" s="11">
        <f>AVERAGE(C4:C10)</f>
        <v>259.85714285714283</v>
      </c>
      <c r="L9" s="11">
        <f>AVERAGE(D4:D10)</f>
        <v>382.85714285714283</v>
      </c>
      <c r="M9" s="11">
        <f>AVERAGE(E4:E10)</f>
        <v>362.57142857142856</v>
      </c>
      <c r="N9" s="12">
        <f>AVERAGE(F4:F10)</f>
        <v>383.71428571428572</v>
      </c>
      <c r="O9">
        <f>AVERAGE(J9:N9)</f>
        <v>314.77142857142854</v>
      </c>
      <c r="Q9" t="s">
        <v>69</v>
      </c>
      <c r="R9" s="13">
        <f>K5</f>
        <v>5</v>
      </c>
      <c r="S9">
        <f>DEVSQ(G4:G24)*R9</f>
        <v>371727.82857142854</v>
      </c>
      <c r="T9">
        <f>J5*L5-1</f>
        <v>20</v>
      </c>
      <c r="U9" s="21">
        <f t="shared" si="1"/>
        <v>18586.391428571427</v>
      </c>
      <c r="W9" t="s">
        <v>70</v>
      </c>
      <c r="X9">
        <f>S10</f>
        <v>1225615.5999999996</v>
      </c>
      <c r="Y9">
        <f>T10</f>
        <v>84</v>
      </c>
      <c r="AE9" s="13">
        <f t="shared" si="5"/>
        <v>331.8</v>
      </c>
      <c r="AF9">
        <f t="shared" si="6"/>
        <v>274.8</v>
      </c>
      <c r="AG9" s="21">
        <f t="shared" si="7"/>
        <v>258.39999999999998</v>
      </c>
      <c r="AI9" t="s">
        <v>71</v>
      </c>
      <c r="AJ9">
        <v>39515.542857142922</v>
      </c>
      <c r="AK9">
        <v>24</v>
      </c>
      <c r="AL9">
        <v>1646.4809523809552</v>
      </c>
      <c r="AR9" s="13" t="e">
        <f ca="1"/>
        <v>#NAME?</v>
      </c>
      <c r="AS9" t="e">
        <f ca="1"/>
        <v>#NAME?</v>
      </c>
      <c r="AT9" t="e">
        <f ca="1"/>
        <v>#NAME?</v>
      </c>
      <c r="AU9" t="e">
        <f ca="1"/>
        <v>#NAME?</v>
      </c>
      <c r="AV9" s="21" t="e">
        <f ca="1"/>
        <v>#NAME?</v>
      </c>
      <c r="AX9" t="s">
        <v>72</v>
      </c>
      <c r="AY9" s="25" t="e">
        <f ca="1">SUMSQ(AR11:AV11)</f>
        <v>#NAME?</v>
      </c>
      <c r="BA9" t="s">
        <v>73</v>
      </c>
      <c r="BB9" s="25" t="e">
        <f ca="1">(BB6-1)*(BB5-1-(BB6-1)*BB7)</f>
        <v>#NAME?</v>
      </c>
      <c r="BD9" s="13">
        <f t="shared" si="2"/>
        <v>372.2</v>
      </c>
      <c r="BE9">
        <f t="shared" si="3"/>
        <v>234.4</v>
      </c>
      <c r="BF9" s="21">
        <f t="shared" si="4"/>
        <v>264.60000000000002</v>
      </c>
      <c r="BH9" t="s">
        <v>74</v>
      </c>
      <c r="BI9">
        <f>QUARTILE(BD6:BD12,3)-MEDIAN(BD6:BD12)</f>
        <v>25.300000000000011</v>
      </c>
      <c r="BJ9">
        <f>QUARTILE(BE6:BE12,3)-MEDIAN(BE6:BE12)</f>
        <v>9.0999999999999943</v>
      </c>
      <c r="BK9">
        <f>QUARTILE(BF6:BF12,3)-MEDIAN(BF6:BF12)</f>
        <v>41.599999999999966</v>
      </c>
      <c r="BU9" s="13">
        <f t="shared" si="8"/>
        <v>65</v>
      </c>
      <c r="BV9">
        <f t="shared" si="9"/>
        <v>20</v>
      </c>
      <c r="BW9" s="21">
        <f t="shared" si="10"/>
        <v>83</v>
      </c>
      <c r="BY9" s="13">
        <f t="shared" ref="BY9:CA14" si="11">ABS(BU9-BU$15)</f>
        <v>119.85714285714286</v>
      </c>
      <c r="BZ9">
        <f t="shared" si="11"/>
        <v>34.428571428571431</v>
      </c>
      <c r="CA9" s="21">
        <f t="shared" si="11"/>
        <v>4.4285714285714306</v>
      </c>
      <c r="CC9" t="s">
        <v>21</v>
      </c>
      <c r="CD9">
        <v>7</v>
      </c>
      <c r="CE9">
        <v>465.14285714285711</v>
      </c>
      <c r="CF9">
        <v>66.448979591836732</v>
      </c>
      <c r="CG9">
        <v>819.7648202138007</v>
      </c>
    </row>
    <row r="10" spans="1:97" x14ac:dyDescent="0.35">
      <c r="A10" s="22"/>
      <c r="B10" s="28">
        <v>230</v>
      </c>
      <c r="C10" s="15">
        <v>306</v>
      </c>
      <c r="D10" s="29">
        <v>432</v>
      </c>
      <c r="E10" s="29">
        <v>386</v>
      </c>
      <c r="F10" s="30">
        <v>423</v>
      </c>
      <c r="G10">
        <f t="shared" si="0"/>
        <v>355.4</v>
      </c>
      <c r="I10" t="s">
        <v>38</v>
      </c>
      <c r="J10" s="13">
        <f>AVERAGE(B11:B17)</f>
        <v>54.428571428571431</v>
      </c>
      <c r="K10">
        <f>AVERAGE(C11:C17)</f>
        <v>119.14285714285714</v>
      </c>
      <c r="L10">
        <f>AVERAGE(D11:D17)</f>
        <v>317.42857142857144</v>
      </c>
      <c r="M10">
        <f>AVERAGE(E11:E17)</f>
        <v>281.57142857142856</v>
      </c>
      <c r="N10" s="21">
        <f>AVERAGE(F11:F17)</f>
        <v>309.85714285714283</v>
      </c>
      <c r="O10">
        <f>AVERAGE(J10:N10)</f>
        <v>216.48571428571427</v>
      </c>
      <c r="Q10" s="17" t="s">
        <v>75</v>
      </c>
      <c r="R10" s="13"/>
      <c r="S10">
        <f>S5-S9</f>
        <v>1225615.5999999996</v>
      </c>
      <c r="T10">
        <f>T5-T9</f>
        <v>84</v>
      </c>
      <c r="U10" s="21">
        <f t="shared" si="1"/>
        <v>14590.661904761901</v>
      </c>
      <c r="W10" t="s">
        <v>76</v>
      </c>
      <c r="X10">
        <f>S7</f>
        <v>1025800.38095238</v>
      </c>
      <c r="Y10">
        <f>T7</f>
        <v>4</v>
      </c>
      <c r="Z10">
        <f>X10/Y10</f>
        <v>256450.095238095</v>
      </c>
      <c r="AA10">
        <f>Z10/Z12</f>
        <v>114.63225504334284</v>
      </c>
      <c r="AB10">
        <f>FDIST(AA10,Y10,Y12)</f>
        <v>1.9104657472457449E-30</v>
      </c>
      <c r="AC10">
        <f>X10/X12</f>
        <v>6.3684586135190466</v>
      </c>
      <c r="AE10" s="13">
        <f t="shared" si="5"/>
        <v>372.2</v>
      </c>
      <c r="AF10">
        <f t="shared" si="6"/>
        <v>234.4</v>
      </c>
      <c r="AG10" s="21">
        <f t="shared" si="7"/>
        <v>264.60000000000002</v>
      </c>
      <c r="AR10" s="22" t="e">
        <f ca="1"/>
        <v>#NAME?</v>
      </c>
      <c r="AS10" s="23" t="e">
        <f ca="1"/>
        <v>#NAME?</v>
      </c>
      <c r="AT10" s="23" t="e">
        <f ca="1"/>
        <v>#NAME?</v>
      </c>
      <c r="AU10" s="23" t="e">
        <f ca="1"/>
        <v>#NAME?</v>
      </c>
      <c r="AV10" s="24" t="e">
        <f ca="1"/>
        <v>#NAME?</v>
      </c>
      <c r="AX10" t="s">
        <v>77</v>
      </c>
      <c r="AY10" s="25" t="e">
        <f ca="1">(AY5*(AY6-AY7))^2</f>
        <v>#NAME?</v>
      </c>
      <c r="BA10" t="s">
        <v>78</v>
      </c>
      <c r="BB10" s="31" t="e">
        <f ca="1">MIN(BB8/BB9,1)</f>
        <v>#NAME?</v>
      </c>
      <c r="BD10" s="13">
        <f t="shared" si="2"/>
        <v>237</v>
      </c>
      <c r="BE10">
        <f t="shared" si="3"/>
        <v>214.2</v>
      </c>
      <c r="BF10" s="21">
        <f t="shared" si="4"/>
        <v>353.4</v>
      </c>
      <c r="BH10" t="s">
        <v>79</v>
      </c>
      <c r="BI10">
        <f>MAX(BD6:BD12)-QUARTILE(BD6:BD12,3)</f>
        <v>15.099999999999966</v>
      </c>
      <c r="BJ10">
        <f>MAX(BE6:BE12)-QUARTILE(BE6:BE12,3)</f>
        <v>34.900000000000006</v>
      </c>
      <c r="BK10">
        <f>MAX(BF6:BF12)-QUARTILE(BF6:BF12,3)</f>
        <v>47.199999999999989</v>
      </c>
      <c r="BU10" s="13">
        <f t="shared" si="8"/>
        <v>251</v>
      </c>
      <c r="BV10">
        <f t="shared" si="9"/>
        <v>41</v>
      </c>
      <c r="BW10" s="21">
        <f t="shared" si="10"/>
        <v>38</v>
      </c>
      <c r="BY10" s="13">
        <f t="shared" si="11"/>
        <v>66.142857142857139</v>
      </c>
      <c r="BZ10">
        <f t="shared" si="11"/>
        <v>13.428571428571431</v>
      </c>
      <c r="CA10" s="21">
        <f t="shared" si="11"/>
        <v>49.428571428571431</v>
      </c>
      <c r="CC10" t="s">
        <v>38</v>
      </c>
      <c r="CD10">
        <v>7</v>
      </c>
      <c r="CE10">
        <v>291.14285714285717</v>
      </c>
      <c r="CF10">
        <v>41.591836734693878</v>
      </c>
      <c r="CG10">
        <v>2359.4246841593772</v>
      </c>
    </row>
    <row r="11" spans="1:97" ht="15" thickBot="1" x14ac:dyDescent="0.4">
      <c r="A11" s="20" t="s">
        <v>38</v>
      </c>
      <c r="B11" s="7">
        <v>54</v>
      </c>
      <c r="C11" s="8">
        <v>172</v>
      </c>
      <c r="D11" s="8">
        <v>307</v>
      </c>
      <c r="E11" s="8">
        <v>261</v>
      </c>
      <c r="F11" s="9">
        <v>360</v>
      </c>
      <c r="G11">
        <f t="shared" si="0"/>
        <v>230.8</v>
      </c>
      <c r="I11" t="s">
        <v>39</v>
      </c>
      <c r="J11" s="22">
        <f>AVERAGE(B18:B24)</f>
        <v>87.428571428571431</v>
      </c>
      <c r="K11" s="23">
        <f>AVERAGE(C18:C24)</f>
        <v>238.71428571428572</v>
      </c>
      <c r="L11" s="23">
        <f>AVERAGE(D18:D24)</f>
        <v>369.57142857142856</v>
      </c>
      <c r="M11" s="23">
        <f>AVERAGE(E18:E24)</f>
        <v>374.28571428571428</v>
      </c>
      <c r="N11" s="24">
        <f>AVERAGE(F18:F24)</f>
        <v>358</v>
      </c>
      <c r="O11">
        <f>AVERAGE(J11:N11)</f>
        <v>285.60000000000002</v>
      </c>
      <c r="Q11" s="17" t="s">
        <v>80</v>
      </c>
      <c r="R11" s="13"/>
      <c r="S11">
        <f>S8-S6-S7</f>
        <v>38740.076190477121</v>
      </c>
      <c r="T11">
        <f>T8-T6-T7</f>
        <v>8</v>
      </c>
      <c r="U11" s="21">
        <f t="shared" si="1"/>
        <v>4842.5095238096401</v>
      </c>
      <c r="W11" s="17" t="s">
        <v>81</v>
      </c>
      <c r="X11">
        <f>S11</f>
        <v>38740.076190477121</v>
      </c>
      <c r="Y11">
        <f>T11</f>
        <v>8</v>
      </c>
      <c r="Z11">
        <f>X11/Y11</f>
        <v>4842.5095238096401</v>
      </c>
      <c r="AA11">
        <f>Z11/Z12</f>
        <v>2.1645840539376158</v>
      </c>
      <c r="AB11">
        <f>FDIST(AA11,Y11,Y12)</f>
        <v>4.0346173311157994E-2</v>
      </c>
      <c r="AC11">
        <f t="shared" ref="AC11" si="12">X11/X12</f>
        <v>0.24050933932640176</v>
      </c>
      <c r="AE11" s="13">
        <f t="shared" si="5"/>
        <v>237</v>
      </c>
      <c r="AF11">
        <f t="shared" si="6"/>
        <v>214.2</v>
      </c>
      <c r="AG11" s="21">
        <f t="shared" si="7"/>
        <v>353.4</v>
      </c>
      <c r="AI11" s="32" t="s">
        <v>30</v>
      </c>
      <c r="AJ11" s="32">
        <v>345556.1714285714</v>
      </c>
      <c r="AK11" s="32">
        <v>34</v>
      </c>
      <c r="AL11" s="32"/>
      <c r="AM11" s="32"/>
      <c r="AN11" s="32"/>
      <c r="AO11" s="32"/>
      <c r="AQ11" t="s">
        <v>82</v>
      </c>
      <c r="AR11" t="e">
        <f ca="1">AVERAGE(AR6:AR10)</f>
        <v>#NAME?</v>
      </c>
      <c r="AS11" t="e">
        <f ca="1">AVERAGE(AS6:AS10)</f>
        <v>#NAME?</v>
      </c>
      <c r="AT11" t="e">
        <f ca="1">AVERAGE(AT6:AT10)</f>
        <v>#NAME?</v>
      </c>
      <c r="AU11" t="e">
        <f ca="1">AVERAGE(AU6:AU10)</f>
        <v>#NAME?</v>
      </c>
      <c r="AV11" t="e">
        <f ca="1">AVERAGE(AV6:AV10)</f>
        <v>#NAME?</v>
      </c>
      <c r="AX11" t="s">
        <v>83</v>
      </c>
      <c r="AY11" s="25" t="e">
        <f ca="1">(AY5-1)*(AY8-2*AY5*AY9+AY5^2*AY7^2)</f>
        <v>#NAME?</v>
      </c>
      <c r="BD11" s="13">
        <f t="shared" si="2"/>
        <v>289.60000000000002</v>
      </c>
      <c r="BE11">
        <f t="shared" si="3"/>
        <v>155.19999999999999</v>
      </c>
      <c r="BF11" s="21">
        <f t="shared" si="4"/>
        <v>333.4</v>
      </c>
      <c r="BU11" s="13">
        <f t="shared" si="8"/>
        <v>241</v>
      </c>
      <c r="BV11">
        <f t="shared" si="9"/>
        <v>200</v>
      </c>
      <c r="BW11" s="21">
        <f t="shared" si="10"/>
        <v>71</v>
      </c>
      <c r="BY11" s="13">
        <f t="shared" si="11"/>
        <v>56.142857142857139</v>
      </c>
      <c r="BZ11">
        <f t="shared" si="11"/>
        <v>145.57142857142856</v>
      </c>
      <c r="CA11" s="21">
        <f t="shared" si="11"/>
        <v>16.428571428571431</v>
      </c>
      <c r="CC11" s="32" t="s">
        <v>39</v>
      </c>
      <c r="CD11" s="32">
        <v>7</v>
      </c>
      <c r="CE11" s="32">
        <v>173.42857142857144</v>
      </c>
      <c r="CF11" s="32">
        <v>24.775510204081634</v>
      </c>
      <c r="CG11" s="32">
        <v>221.48882410106884</v>
      </c>
      <c r="CK11" t="s">
        <v>68</v>
      </c>
      <c r="CL11" s="20" t="e">
        <f ca="1">CQ8</f>
        <v>#NAME?</v>
      </c>
      <c r="CN11" t="s">
        <v>84</v>
      </c>
      <c r="CO11" s="20">
        <f>(CL6-1)*(CL6+2)/(6*(CL5-1))*CS8</f>
        <v>0.18724279835390947</v>
      </c>
    </row>
    <row r="12" spans="1:97" x14ac:dyDescent="0.35">
      <c r="A12" s="25"/>
      <c r="B12" s="14">
        <v>20</v>
      </c>
      <c r="C12" s="15">
        <v>116</v>
      </c>
      <c r="D12" s="15">
        <v>425</v>
      </c>
      <c r="E12" s="15">
        <v>398</v>
      </c>
      <c r="F12" s="16">
        <v>268</v>
      </c>
      <c r="G12">
        <f t="shared" si="0"/>
        <v>245.4</v>
      </c>
      <c r="J12">
        <f>AVERAGE(J9:J11)</f>
        <v>108.90476190476191</v>
      </c>
      <c r="K12">
        <f>AVERAGE(K9:K11)</f>
        <v>205.90476190476193</v>
      </c>
      <c r="L12">
        <f>AVERAGE(L9:L11)</f>
        <v>356.61904761904754</v>
      </c>
      <c r="M12">
        <f>AVERAGE(M9:M11)</f>
        <v>339.47619047619042</v>
      </c>
      <c r="N12">
        <f>AVERAGE(N9:N11)</f>
        <v>350.52380952380946</v>
      </c>
      <c r="O12">
        <f>AVERAGE(J9:N11)</f>
        <v>272.28571428571428</v>
      </c>
      <c r="Q12" t="s">
        <v>85</v>
      </c>
      <c r="R12" s="13"/>
      <c r="S12">
        <f>S9-S6</f>
        <v>193369.71428571423</v>
      </c>
      <c r="T12">
        <f>T9-T6</f>
        <v>18</v>
      </c>
      <c r="U12" s="21">
        <f t="shared" si="1"/>
        <v>10742.761904761901</v>
      </c>
      <c r="W12" t="s">
        <v>86</v>
      </c>
      <c r="X12">
        <f>S13</f>
        <v>161075.14285714249</v>
      </c>
      <c r="Y12">
        <f>T13</f>
        <v>72</v>
      </c>
      <c r="Z12">
        <f>X12/Y12</f>
        <v>2237.1547619047569</v>
      </c>
      <c r="AE12" s="13">
        <f t="shared" si="5"/>
        <v>289.60000000000002</v>
      </c>
      <c r="AF12">
        <f t="shared" si="6"/>
        <v>155.19999999999999</v>
      </c>
      <c r="AG12" s="21">
        <f t="shared" si="7"/>
        <v>333.4</v>
      </c>
      <c r="AQ12" t="s">
        <v>87</v>
      </c>
      <c r="AR12" t="e">
        <f ca="1">INDEX(AR6:AR10,AR5)</f>
        <v>#NAME?</v>
      </c>
      <c r="AS12" t="e">
        <f ca="1">INDEX(AS6:AS10,AS5)</f>
        <v>#NAME?</v>
      </c>
      <c r="AT12" t="e">
        <f ca="1">INDEX(AT6:AT10,AT5)</f>
        <v>#NAME?</v>
      </c>
      <c r="AU12" t="e">
        <f ca="1">INDEX(AU6:AU10,AU5)</f>
        <v>#NAME?</v>
      </c>
      <c r="AV12" t="e">
        <f ca="1">INDEX(AV6:AV10,AV5)</f>
        <v>#NAME?</v>
      </c>
      <c r="AX12" t="s">
        <v>51</v>
      </c>
      <c r="AY12" s="31" t="e">
        <f ca="1">AY10/AY11</f>
        <v>#NAME?</v>
      </c>
      <c r="BA12" t="s">
        <v>88</v>
      </c>
      <c r="BB12" s="27">
        <f>1/(BB6-1)</f>
        <v>0.25</v>
      </c>
      <c r="BD12" s="22">
        <f t="shared" si="2"/>
        <v>355.4</v>
      </c>
      <c r="BE12" s="23">
        <f t="shared" si="3"/>
        <v>160.6</v>
      </c>
      <c r="BF12" s="24">
        <f t="shared" si="4"/>
        <v>260.60000000000002</v>
      </c>
      <c r="BU12" s="13">
        <f t="shared" si="8"/>
        <v>154</v>
      </c>
      <c r="BV12">
        <f t="shared" si="9"/>
        <v>34</v>
      </c>
      <c r="BW12" s="21">
        <f t="shared" si="10"/>
        <v>123</v>
      </c>
      <c r="BY12" s="13">
        <f t="shared" si="11"/>
        <v>30.857142857142861</v>
      </c>
      <c r="BZ12">
        <f t="shared" si="11"/>
        <v>20.428571428571431</v>
      </c>
      <c r="CA12" s="21">
        <f t="shared" si="11"/>
        <v>35.571428571428569</v>
      </c>
      <c r="CK12" t="s">
        <v>89</v>
      </c>
      <c r="CL12" s="25">
        <f>(2*CL6^2+3*CL6-1)/(6*(CL6+1)*(CL5-1))*CR8</f>
        <v>0.39506172839506171</v>
      </c>
      <c r="CN12" t="s">
        <v>90</v>
      </c>
      <c r="CO12" s="25">
        <f>(CL14+2)/ABS(CO11-CL12^2)</f>
        <v>1026.6601466992654</v>
      </c>
    </row>
    <row r="13" spans="1:97" ht="15" thickBot="1" x14ac:dyDescent="0.4">
      <c r="A13" s="25"/>
      <c r="B13" s="14">
        <v>41</v>
      </c>
      <c r="C13" s="15">
        <v>168</v>
      </c>
      <c r="D13" s="15">
        <v>378</v>
      </c>
      <c r="E13" s="15">
        <v>317</v>
      </c>
      <c r="F13" s="16">
        <v>470</v>
      </c>
      <c r="G13">
        <f t="shared" si="0"/>
        <v>274.8</v>
      </c>
      <c r="Q13" t="s">
        <v>91</v>
      </c>
      <c r="R13" s="22"/>
      <c r="S13" s="23">
        <f>S10-S7-S11</f>
        <v>161075.14285714249</v>
      </c>
      <c r="T13" s="23">
        <f>T10-T7-T11</f>
        <v>72</v>
      </c>
      <c r="U13" s="24">
        <f t="shared" si="1"/>
        <v>2237.1547619047569</v>
      </c>
      <c r="AE13" s="22">
        <f t="shared" si="5"/>
        <v>355.4</v>
      </c>
      <c r="AF13" s="23">
        <f t="shared" si="6"/>
        <v>160.6</v>
      </c>
      <c r="AG13" s="24">
        <f t="shared" si="7"/>
        <v>260.60000000000002</v>
      </c>
      <c r="AI13" t="s">
        <v>92</v>
      </c>
      <c r="BU13" s="13">
        <f t="shared" si="8"/>
        <v>103</v>
      </c>
      <c r="BV13">
        <f t="shared" si="9"/>
        <v>29</v>
      </c>
      <c r="BW13" s="21">
        <f t="shared" si="10"/>
        <v>71</v>
      </c>
      <c r="BY13" s="13">
        <f t="shared" si="11"/>
        <v>81.857142857142861</v>
      </c>
      <c r="BZ13">
        <f t="shared" si="11"/>
        <v>25.428571428571431</v>
      </c>
      <c r="CA13" s="21">
        <f t="shared" si="11"/>
        <v>16.428571428571431</v>
      </c>
      <c r="CK13" s="33" t="s">
        <v>93</v>
      </c>
      <c r="CL13" s="25" t="e">
        <f ca="1">CL11*(1-CL12)</f>
        <v>#NAME?</v>
      </c>
      <c r="CN13" t="s">
        <v>94</v>
      </c>
      <c r="CO13" s="25">
        <f>CL14/(1-CL12-CL14/CO12)</f>
        <v>52.108907696507906</v>
      </c>
    </row>
    <row r="14" spans="1:97" ht="15" thickBot="1" x14ac:dyDescent="0.4">
      <c r="A14" s="25"/>
      <c r="B14" s="14">
        <v>200</v>
      </c>
      <c r="C14" s="15">
        <v>157</v>
      </c>
      <c r="D14" s="15">
        <v>283</v>
      </c>
      <c r="E14" s="15">
        <v>259</v>
      </c>
      <c r="F14" s="16">
        <v>273</v>
      </c>
      <c r="G14">
        <f t="shared" si="0"/>
        <v>234.4</v>
      </c>
      <c r="W14" s="32" t="s">
        <v>30</v>
      </c>
      <c r="X14" s="32">
        <f>S5</f>
        <v>1597343.4285714282</v>
      </c>
      <c r="Y14" s="32">
        <f>T5</f>
        <v>104</v>
      </c>
      <c r="Z14" s="32"/>
      <c r="AA14" s="32"/>
      <c r="AB14" s="32"/>
      <c r="AC14" s="32"/>
      <c r="AI14" s="18" t="s">
        <v>31</v>
      </c>
      <c r="AJ14" s="18" t="s">
        <v>25</v>
      </c>
      <c r="AK14" s="18" t="s">
        <v>26</v>
      </c>
      <c r="AL14" s="18" t="s">
        <v>27</v>
      </c>
      <c r="AM14" s="18" t="s">
        <v>32</v>
      </c>
      <c r="AN14" s="18" t="s">
        <v>33</v>
      </c>
      <c r="AO14" s="18" t="s">
        <v>43</v>
      </c>
      <c r="AR14">
        <v>1</v>
      </c>
      <c r="AS14">
        <f>AR14+1</f>
        <v>2</v>
      </c>
      <c r="AT14">
        <f>AS14+1</f>
        <v>3</v>
      </c>
      <c r="AU14">
        <f>AT14+1</f>
        <v>4</v>
      </c>
      <c r="AV14">
        <f>AU14+1</f>
        <v>5</v>
      </c>
      <c r="AX14" t="s">
        <v>36</v>
      </c>
      <c r="AY14" s="20">
        <f>$K$5</f>
        <v>5</v>
      </c>
      <c r="BA14" t="s">
        <v>37</v>
      </c>
      <c r="BB14" s="20">
        <f>$L$5</f>
        <v>7</v>
      </c>
      <c r="BD14" s="5" t="s">
        <v>95</v>
      </c>
      <c r="BE14" s="5" t="s">
        <v>96</v>
      </c>
      <c r="BF14" s="5" t="s">
        <v>97</v>
      </c>
      <c r="BG14" s="5" t="s">
        <v>98</v>
      </c>
      <c r="BH14" s="5" t="s">
        <v>99</v>
      </c>
      <c r="BI14" s="5" t="s">
        <v>100</v>
      </c>
      <c r="BJ14" s="5" t="s">
        <v>101</v>
      </c>
      <c r="BK14" s="5" t="s">
        <v>102</v>
      </c>
      <c r="BL14" s="5" t="s">
        <v>103</v>
      </c>
      <c r="BM14" s="5" t="s">
        <v>104</v>
      </c>
      <c r="BN14" s="5" t="s">
        <v>105</v>
      </c>
      <c r="BO14" s="5" t="s">
        <v>106</v>
      </c>
      <c r="BP14" s="5" t="s">
        <v>107</v>
      </c>
      <c r="BQ14" s="5" t="s">
        <v>108</v>
      </c>
      <c r="BR14" s="5" t="s">
        <v>109</v>
      </c>
      <c r="BU14" s="22">
        <f t="shared" si="8"/>
        <v>230</v>
      </c>
      <c r="BV14" s="23">
        <f t="shared" si="9"/>
        <v>3</v>
      </c>
      <c r="BW14" s="24">
        <f t="shared" si="10"/>
        <v>108</v>
      </c>
      <c r="BY14" s="22">
        <f t="shared" si="11"/>
        <v>45.142857142857139</v>
      </c>
      <c r="BZ14" s="23">
        <f t="shared" si="11"/>
        <v>51.428571428571431</v>
      </c>
      <c r="CA14" s="24">
        <f t="shared" si="11"/>
        <v>20.571428571428569</v>
      </c>
      <c r="CC14" t="s">
        <v>28</v>
      </c>
      <c r="CK14" s="33" t="s">
        <v>26</v>
      </c>
      <c r="CL14" s="25">
        <f>CL6*(CL6+1)*(CL5-1)/2</f>
        <v>30</v>
      </c>
      <c r="CN14" t="s">
        <v>110</v>
      </c>
      <c r="CO14" s="25">
        <f>CO12/(1-CL12+2/CO12)</f>
        <v>1691.6843994114142</v>
      </c>
    </row>
    <row r="15" spans="1:97" x14ac:dyDescent="0.35">
      <c r="A15" s="25"/>
      <c r="B15" s="14">
        <v>34</v>
      </c>
      <c r="C15" s="15">
        <v>86</v>
      </c>
      <c r="D15" s="15">
        <v>351</v>
      </c>
      <c r="E15" s="15">
        <v>280</v>
      </c>
      <c r="F15" s="16">
        <v>320</v>
      </c>
      <c r="G15">
        <f t="shared" si="0"/>
        <v>214.2</v>
      </c>
      <c r="AI15" t="s">
        <v>49</v>
      </c>
      <c r="AJ15">
        <v>58233.942857142829</v>
      </c>
      <c r="AK15">
        <v>6</v>
      </c>
      <c r="AL15">
        <v>9705.6571428571388</v>
      </c>
      <c r="AM15">
        <v>2.9519576278182553</v>
      </c>
      <c r="AN15">
        <v>2.6540423840703348E-2</v>
      </c>
      <c r="AO15">
        <v>2.5081888234232559</v>
      </c>
      <c r="AQ15" t="str">
        <f>A4</f>
        <v>Young</v>
      </c>
      <c r="AR15" s="6" t="e">
        <f t="array" aca="1" ref="AR15:AV19" ca="1">COV(B4:F10)</f>
        <v>#NAME?</v>
      </c>
      <c r="AS15" s="11" t="e">
        <f ca="1"/>
        <v>#NAME?</v>
      </c>
      <c r="AT15" s="11" t="e">
        <f ca="1"/>
        <v>#NAME?</v>
      </c>
      <c r="AU15" s="11" t="e">
        <f ca="1"/>
        <v>#NAME?</v>
      </c>
      <c r="AV15" s="12" t="e">
        <f ca="1"/>
        <v>#NAME?</v>
      </c>
      <c r="AX15" t="s">
        <v>44</v>
      </c>
      <c r="AY15" s="25" t="e">
        <f ca="1">AVERAGE(AR21:AV21)</f>
        <v>#NAME?</v>
      </c>
      <c r="BA15" t="s">
        <v>36</v>
      </c>
      <c r="BB15" s="25">
        <f>AY14</f>
        <v>5</v>
      </c>
      <c r="BD15" s="6">
        <v>250</v>
      </c>
      <c r="BE15" s="11">
        <v>278</v>
      </c>
      <c r="BF15" s="11">
        <v>442</v>
      </c>
      <c r="BG15" s="11">
        <v>368</v>
      </c>
      <c r="BH15" s="12">
        <v>456</v>
      </c>
      <c r="BI15" s="6">
        <v>54</v>
      </c>
      <c r="BJ15" s="11">
        <v>172</v>
      </c>
      <c r="BK15" s="11">
        <v>307</v>
      </c>
      <c r="BL15" s="11">
        <v>261</v>
      </c>
      <c r="BM15" s="12">
        <v>360</v>
      </c>
      <c r="BN15" s="6">
        <v>118</v>
      </c>
      <c r="BO15" s="11">
        <v>124</v>
      </c>
      <c r="BP15" s="11">
        <v>365</v>
      </c>
      <c r="BQ15" s="11">
        <v>311</v>
      </c>
      <c r="BR15" s="12">
        <v>331</v>
      </c>
      <c r="BT15" t="s">
        <v>82</v>
      </c>
      <c r="BU15">
        <f>AVERAGE(BU8:BU14)</f>
        <v>184.85714285714286</v>
      </c>
      <c r="BV15">
        <f>AVERAGE(BV8:BV14)</f>
        <v>54.428571428571431</v>
      </c>
      <c r="BW15">
        <f>AVERAGE(BW8:BW14)</f>
        <v>87.428571428571431</v>
      </c>
      <c r="CC15" s="18" t="s">
        <v>31</v>
      </c>
      <c r="CD15" s="18" t="s">
        <v>25</v>
      </c>
      <c r="CE15" s="18" t="s">
        <v>26</v>
      </c>
      <c r="CF15" s="18" t="s">
        <v>27</v>
      </c>
      <c r="CG15" s="18" t="s">
        <v>32</v>
      </c>
      <c r="CH15" s="18" t="s">
        <v>33</v>
      </c>
      <c r="CI15" s="18" t="s">
        <v>43</v>
      </c>
      <c r="CK15" s="33" t="s">
        <v>111</v>
      </c>
      <c r="CL15" s="25" t="e">
        <f ca="1">CHIDIST(CL13,CL14)</f>
        <v>#NAME?</v>
      </c>
      <c r="CN15" t="s">
        <v>112</v>
      </c>
      <c r="CO15" s="25" t="e">
        <f ca="1">CL11/CO13</f>
        <v>#NAME?</v>
      </c>
    </row>
    <row r="16" spans="1:97" x14ac:dyDescent="0.35">
      <c r="A16" s="25"/>
      <c r="B16" s="14">
        <v>29</v>
      </c>
      <c r="C16" s="15">
        <v>81</v>
      </c>
      <c r="D16" s="15">
        <v>193</v>
      </c>
      <c r="E16" s="15">
        <v>240</v>
      </c>
      <c r="F16" s="16">
        <v>233</v>
      </c>
      <c r="G16">
        <f t="shared" si="0"/>
        <v>155.19999999999999</v>
      </c>
      <c r="AI16" t="s">
        <v>58</v>
      </c>
      <c r="AJ16">
        <v>412173.88571428566</v>
      </c>
      <c r="AK16">
        <v>4</v>
      </c>
      <c r="AL16">
        <v>103043.47142857141</v>
      </c>
      <c r="AM16">
        <v>31.340480814769411</v>
      </c>
      <c r="AN16">
        <v>3.2800032757234696E-9</v>
      </c>
      <c r="AO16">
        <v>2.7762892892514786</v>
      </c>
      <c r="AR16" s="13" t="e">
        <f ca="1"/>
        <v>#NAME?</v>
      </c>
      <c r="AS16" t="e">
        <f ca="1"/>
        <v>#NAME?</v>
      </c>
      <c r="AT16" t="e">
        <f ca="1"/>
        <v>#NAME?</v>
      </c>
      <c r="AU16" t="e">
        <f ca="1"/>
        <v>#NAME?</v>
      </c>
      <c r="AV16" s="21" t="e">
        <f ca="1"/>
        <v>#NAME?</v>
      </c>
      <c r="AX16" t="s">
        <v>50</v>
      </c>
      <c r="AY16" s="25" t="e">
        <f ca="1">AVERAGE(AR15:AV19)</f>
        <v>#NAME?</v>
      </c>
      <c r="BA16" t="s">
        <v>51</v>
      </c>
      <c r="BB16" s="25" t="e">
        <f ca="1">AY21</f>
        <v>#NAME?</v>
      </c>
      <c r="BD16" s="13">
        <v>65</v>
      </c>
      <c r="BE16">
        <v>207</v>
      </c>
      <c r="BF16">
        <v>341</v>
      </c>
      <c r="BG16">
        <v>382</v>
      </c>
      <c r="BH16" s="21">
        <v>298</v>
      </c>
      <c r="BI16" s="13">
        <v>20</v>
      </c>
      <c r="BJ16">
        <v>116</v>
      </c>
      <c r="BK16">
        <v>425</v>
      </c>
      <c r="BL16">
        <v>398</v>
      </c>
      <c r="BM16" s="21">
        <v>268</v>
      </c>
      <c r="BN16" s="13">
        <v>83</v>
      </c>
      <c r="BO16">
        <v>266</v>
      </c>
      <c r="BP16">
        <v>382</v>
      </c>
      <c r="BQ16">
        <v>369</v>
      </c>
      <c r="BR16" s="21">
        <v>295</v>
      </c>
      <c r="BT16" t="s">
        <v>87</v>
      </c>
      <c r="BU16">
        <f>VAR(BU8:BU15)</f>
        <v>5118.1224489795941</v>
      </c>
      <c r="BV16">
        <f>VAR(BV8:BV14)</f>
        <v>4377.6190476190477</v>
      </c>
      <c r="BW16">
        <f>VAR(BW8:BW14)</f>
        <v>937.61904761904714</v>
      </c>
      <c r="CC16" t="s">
        <v>113</v>
      </c>
      <c r="CD16">
        <v>6153.8036929057344</v>
      </c>
      <c r="CE16">
        <v>2</v>
      </c>
      <c r="CF16">
        <v>3076.9018464528672</v>
      </c>
      <c r="CG16">
        <v>2.7143718540118629</v>
      </c>
      <c r="CH16">
        <v>9.3263461825975183E-2</v>
      </c>
      <c r="CI16">
        <v>3.5545571456617879</v>
      </c>
      <c r="CK16" s="33" t="s">
        <v>114</v>
      </c>
      <c r="CL16" s="25">
        <v>0.05</v>
      </c>
      <c r="CN16" t="s">
        <v>115</v>
      </c>
      <c r="CO16" s="25" t="e">
        <f ca="1">CO12*CL11/(CL14*(CO14-CO12))</f>
        <v>#NAME?</v>
      </c>
    </row>
    <row r="17" spans="1:93" ht="15" thickBot="1" x14ac:dyDescent="0.4">
      <c r="A17" s="31"/>
      <c r="B17" s="28">
        <v>3</v>
      </c>
      <c r="C17" s="29">
        <v>54</v>
      </c>
      <c r="D17" s="29">
        <v>285</v>
      </c>
      <c r="E17" s="29">
        <v>216</v>
      </c>
      <c r="F17" s="30">
        <v>245</v>
      </c>
      <c r="G17">
        <f t="shared" si="0"/>
        <v>160.6</v>
      </c>
      <c r="W17" t="s">
        <v>116</v>
      </c>
      <c r="AI17" t="s">
        <v>71</v>
      </c>
      <c r="AJ17">
        <v>78908.914285714331</v>
      </c>
      <c r="AK17">
        <v>24</v>
      </c>
      <c r="AL17">
        <v>3287.8714285714304</v>
      </c>
      <c r="AR17" s="13" t="e">
        <f ca="1"/>
        <v>#NAME?</v>
      </c>
      <c r="AS17" t="e">
        <f ca="1"/>
        <v>#NAME?</v>
      </c>
      <c r="AT17" t="e">
        <f ca="1"/>
        <v>#NAME?</v>
      </c>
      <c r="AU17" t="e">
        <f ca="1"/>
        <v>#NAME?</v>
      </c>
      <c r="AV17" s="21" t="e">
        <f ca="1"/>
        <v>#NAME?</v>
      </c>
      <c r="AX17" t="s">
        <v>59</v>
      </c>
      <c r="AY17" s="25" t="e">
        <f ca="1">SUMSQ(AR15:AV19)</f>
        <v>#NAME?</v>
      </c>
      <c r="BA17" t="s">
        <v>60</v>
      </c>
      <c r="BB17" s="25" t="e">
        <f ca="1">BB14*(BB15-1)*BB16-2</f>
        <v>#NAME?</v>
      </c>
      <c r="BD17" s="13">
        <v>251</v>
      </c>
      <c r="BE17">
        <v>261</v>
      </c>
      <c r="BF17">
        <v>384</v>
      </c>
      <c r="BG17">
        <v>421</v>
      </c>
      <c r="BH17" s="21">
        <v>342</v>
      </c>
      <c r="BI17" s="13">
        <v>41</v>
      </c>
      <c r="BJ17">
        <v>168</v>
      </c>
      <c r="BK17">
        <v>378</v>
      </c>
      <c r="BL17">
        <v>317</v>
      </c>
      <c r="BM17" s="21">
        <v>470</v>
      </c>
      <c r="BN17" s="13">
        <v>38</v>
      </c>
      <c r="BO17">
        <v>207</v>
      </c>
      <c r="BP17">
        <v>289</v>
      </c>
      <c r="BQ17">
        <v>385</v>
      </c>
      <c r="BR17" s="21">
        <v>373</v>
      </c>
      <c r="CC17" t="s">
        <v>117</v>
      </c>
      <c r="CD17">
        <v>20404.069970845478</v>
      </c>
      <c r="CE17">
        <v>18</v>
      </c>
      <c r="CF17">
        <v>1133.5594428247487</v>
      </c>
      <c r="CK17" s="33" t="s">
        <v>118</v>
      </c>
      <c r="CL17" s="25">
        <f>CHIINV(CL16,CL14)</f>
        <v>43.772971825742189</v>
      </c>
      <c r="CN17" t="s">
        <v>32</v>
      </c>
      <c r="CO17" s="25" t="e">
        <f ca="1">IF(CO11&gt;CL12^2,CO15,CO16)</f>
        <v>#NAME?</v>
      </c>
    </row>
    <row r="18" spans="1:93" ht="15" thickTop="1" x14ac:dyDescent="0.35">
      <c r="A18" s="20" t="s">
        <v>39</v>
      </c>
      <c r="B18" s="14">
        <v>118</v>
      </c>
      <c r="C18" s="15">
        <v>124</v>
      </c>
      <c r="D18" s="15">
        <v>365</v>
      </c>
      <c r="E18" s="15">
        <v>311</v>
      </c>
      <c r="F18" s="16">
        <v>331</v>
      </c>
      <c r="G18">
        <f t="shared" si="0"/>
        <v>249.8</v>
      </c>
      <c r="W18" s="18" t="s">
        <v>31</v>
      </c>
      <c r="X18" s="18" t="s">
        <v>25</v>
      </c>
      <c r="Y18" s="18" t="s">
        <v>26</v>
      </c>
      <c r="Z18" s="18" t="s">
        <v>27</v>
      </c>
      <c r="AA18" s="18" t="s">
        <v>32</v>
      </c>
      <c r="AB18" s="18" t="s">
        <v>33</v>
      </c>
      <c r="AC18" s="19" t="s">
        <v>34</v>
      </c>
      <c r="AR18" s="13" t="e">
        <f ca="1"/>
        <v>#NAME?</v>
      </c>
      <c r="AS18" t="e">
        <f ca="1"/>
        <v>#NAME?</v>
      </c>
      <c r="AT18" t="e">
        <f ca="1"/>
        <v>#NAME?</v>
      </c>
      <c r="AU18" t="e">
        <f ca="1"/>
        <v>#NAME?</v>
      </c>
      <c r="AV18" s="21" t="e">
        <f ca="1"/>
        <v>#NAME?</v>
      </c>
      <c r="AX18" t="s">
        <v>72</v>
      </c>
      <c r="AY18" s="25" t="e">
        <f ca="1">SUMSQ(AR20:AV20)</f>
        <v>#NAME?</v>
      </c>
      <c r="BA18" t="s">
        <v>73</v>
      </c>
      <c r="BB18" s="25" t="e">
        <f ca="1">(BB15-1)*(BB14-1-(BB15-1)*BB16)</f>
        <v>#NAME?</v>
      </c>
      <c r="BD18" s="13">
        <v>241</v>
      </c>
      <c r="BE18">
        <v>314</v>
      </c>
      <c r="BF18">
        <v>423</v>
      </c>
      <c r="BG18">
        <v>415</v>
      </c>
      <c r="BH18" s="21">
        <v>468</v>
      </c>
      <c r="BI18" s="13">
        <v>200</v>
      </c>
      <c r="BJ18">
        <v>157</v>
      </c>
      <c r="BK18">
        <v>283</v>
      </c>
      <c r="BL18">
        <v>259</v>
      </c>
      <c r="BM18" s="21">
        <v>273</v>
      </c>
      <c r="BN18" s="13">
        <v>71</v>
      </c>
      <c r="BO18">
        <v>211</v>
      </c>
      <c r="BP18">
        <v>356</v>
      </c>
      <c r="BQ18">
        <v>380</v>
      </c>
      <c r="BR18" s="21">
        <v>305</v>
      </c>
      <c r="CK18" s="33" t="s">
        <v>119</v>
      </c>
      <c r="CL18" s="34" t="e">
        <f ca="1">IF(CL15&lt;CL16,"yes","no")</f>
        <v>#NAME?</v>
      </c>
      <c r="CN18" t="s">
        <v>111</v>
      </c>
      <c r="CO18" s="25" t="e">
        <f ca="1">F_DIST_RT(CO17,CL14,CO12)</f>
        <v>#NAME?</v>
      </c>
    </row>
    <row r="19" spans="1:93" ht="15" thickBot="1" x14ac:dyDescent="0.4">
      <c r="A19" s="25"/>
      <c r="B19" s="14">
        <v>83</v>
      </c>
      <c r="C19" s="15">
        <v>266</v>
      </c>
      <c r="D19" s="15">
        <v>382</v>
      </c>
      <c r="E19" s="15">
        <v>369</v>
      </c>
      <c r="F19" s="16">
        <v>295</v>
      </c>
      <c r="G19">
        <f t="shared" si="0"/>
        <v>279</v>
      </c>
      <c r="W19" t="s">
        <v>22</v>
      </c>
      <c r="X19">
        <f>X10</f>
        <v>1025800.38095238</v>
      </c>
      <c r="Y19" t="e">
        <f ca="1">Y10*$AY$48</f>
        <v>#NAME?</v>
      </c>
      <c r="Z19" t="e">
        <f ca="1">X19/Y19</f>
        <v>#NAME?</v>
      </c>
      <c r="AA19" t="e">
        <f ca="1">Z19/Z21</f>
        <v>#NAME?</v>
      </c>
      <c r="AB19" t="e">
        <f ca="1">F_DIST_RT(AA19,Y19,Y21)</f>
        <v>#NAME?</v>
      </c>
      <c r="AC19">
        <f>X19/X21</f>
        <v>6.3684586135190466</v>
      </c>
      <c r="AI19" s="32" t="s">
        <v>30</v>
      </c>
      <c r="AJ19" s="32">
        <v>549316.74285714282</v>
      </c>
      <c r="AK19" s="32">
        <v>34</v>
      </c>
      <c r="AL19" s="32"/>
      <c r="AM19" s="32"/>
      <c r="AN19" s="32"/>
      <c r="AO19" s="32"/>
      <c r="AR19" s="22" t="e">
        <f ca="1"/>
        <v>#NAME?</v>
      </c>
      <c r="AS19" s="23" t="e">
        <f ca="1"/>
        <v>#NAME?</v>
      </c>
      <c r="AT19" s="23" t="e">
        <f ca="1"/>
        <v>#NAME?</v>
      </c>
      <c r="AU19" s="23" t="e">
        <f ca="1"/>
        <v>#NAME?</v>
      </c>
      <c r="AV19" s="24" t="e">
        <f ca="1"/>
        <v>#NAME?</v>
      </c>
      <c r="AX19" t="s">
        <v>77</v>
      </c>
      <c r="AY19" s="25" t="e">
        <f ca="1">(AY14*(AY15-AY16))^2</f>
        <v>#NAME?</v>
      </c>
      <c r="BA19" t="s">
        <v>78</v>
      </c>
      <c r="BB19" s="31" t="e">
        <f ca="1">MIN(BB17/BB18,1)</f>
        <v>#NAME?</v>
      </c>
      <c r="BD19" s="13">
        <v>154</v>
      </c>
      <c r="BE19">
        <v>167</v>
      </c>
      <c r="BF19">
        <v>257</v>
      </c>
      <c r="BG19">
        <v>275</v>
      </c>
      <c r="BH19" s="21">
        <v>332</v>
      </c>
      <c r="BI19" s="13">
        <v>34</v>
      </c>
      <c r="BJ19">
        <v>86</v>
      </c>
      <c r="BK19">
        <v>351</v>
      </c>
      <c r="BL19">
        <v>280</v>
      </c>
      <c r="BM19" s="21">
        <v>320</v>
      </c>
      <c r="BN19" s="13">
        <v>123</v>
      </c>
      <c r="BO19">
        <v>331</v>
      </c>
      <c r="BP19">
        <v>407</v>
      </c>
      <c r="BQ19">
        <v>461</v>
      </c>
      <c r="BR19" s="21">
        <v>445</v>
      </c>
      <c r="CC19" s="32" t="s">
        <v>30</v>
      </c>
      <c r="CD19" s="32">
        <v>26557.873663751212</v>
      </c>
      <c r="CE19" s="32">
        <v>20</v>
      </c>
      <c r="CF19" s="32"/>
      <c r="CG19" s="32"/>
      <c r="CH19" s="32"/>
      <c r="CI19" s="32"/>
      <c r="CN19" t="s">
        <v>120</v>
      </c>
      <c r="CO19" s="25">
        <f>FINV(CL16,CL14,CO12)</f>
        <v>1.4703025266685064</v>
      </c>
    </row>
    <row r="20" spans="1:93" x14ac:dyDescent="0.35">
      <c r="A20" s="25"/>
      <c r="B20" s="14">
        <v>38</v>
      </c>
      <c r="C20" s="15">
        <v>207</v>
      </c>
      <c r="D20" s="15">
        <v>289</v>
      </c>
      <c r="E20" s="15">
        <v>385</v>
      </c>
      <c r="F20" s="16">
        <v>373</v>
      </c>
      <c r="G20">
        <f t="shared" si="0"/>
        <v>258.39999999999998</v>
      </c>
      <c r="W20" s="17" t="s">
        <v>80</v>
      </c>
      <c r="X20">
        <f>X11</f>
        <v>38740.076190477121</v>
      </c>
      <c r="Y20" t="e">
        <f ca="1">Y11*$AY$48</f>
        <v>#NAME?</v>
      </c>
      <c r="Z20" t="e">
        <f ca="1">X20/Y20</f>
        <v>#NAME?</v>
      </c>
      <c r="AA20" t="e">
        <f ca="1">Z20/Z21</f>
        <v>#NAME?</v>
      </c>
      <c r="AB20" t="e">
        <f ca="1">F_DIST_RT(AA20,Y20,Y21)</f>
        <v>#NAME?</v>
      </c>
      <c r="AC20">
        <f>X20/X21</f>
        <v>0.24050933932640176</v>
      </c>
      <c r="AQ20" t="s">
        <v>82</v>
      </c>
      <c r="AR20" t="e">
        <f ca="1">AVERAGE(AR15:AR19)</f>
        <v>#NAME?</v>
      </c>
      <c r="AS20" t="e">
        <f ca="1">AVERAGE(AS15:AS19)</f>
        <v>#NAME?</v>
      </c>
      <c r="AT20" t="e">
        <f ca="1">AVERAGE(AT15:AT19)</f>
        <v>#NAME?</v>
      </c>
      <c r="AU20" t="e">
        <f ca="1">AVERAGE(AU15:AU19)</f>
        <v>#NAME?</v>
      </c>
      <c r="AV20" t="e">
        <f ca="1">AVERAGE(AV15:AV19)</f>
        <v>#NAME?</v>
      </c>
      <c r="AX20" t="s">
        <v>83</v>
      </c>
      <c r="AY20" s="25" t="e">
        <f ca="1">(AY14-1)*(AY17-2*AY14*AY18+AY14^2*AY16^2)</f>
        <v>#NAME?</v>
      </c>
      <c r="BD20" s="13">
        <v>103</v>
      </c>
      <c r="BE20">
        <v>286</v>
      </c>
      <c r="BF20">
        <v>401</v>
      </c>
      <c r="BG20">
        <v>291</v>
      </c>
      <c r="BH20" s="21">
        <v>367</v>
      </c>
      <c r="BI20" s="13">
        <v>29</v>
      </c>
      <c r="BJ20">
        <v>81</v>
      </c>
      <c r="BK20">
        <v>193</v>
      </c>
      <c r="BL20">
        <v>240</v>
      </c>
      <c r="BM20" s="21">
        <v>233</v>
      </c>
      <c r="BN20" s="13">
        <v>71</v>
      </c>
      <c r="BO20">
        <v>285</v>
      </c>
      <c r="BP20">
        <v>471</v>
      </c>
      <c r="BQ20">
        <v>407</v>
      </c>
      <c r="BR20" s="21">
        <v>433</v>
      </c>
      <c r="CN20" t="s">
        <v>119</v>
      </c>
      <c r="CO20" s="34" t="e">
        <f ca="1">IF(CO18&lt;CL16,"yes","no")</f>
        <v>#NAME?</v>
      </c>
    </row>
    <row r="21" spans="1:93" ht="15" thickBot="1" x14ac:dyDescent="0.4">
      <c r="A21" s="25"/>
      <c r="B21" s="14">
        <v>71</v>
      </c>
      <c r="C21" s="15">
        <v>211</v>
      </c>
      <c r="D21" s="15">
        <v>356</v>
      </c>
      <c r="E21" s="15">
        <v>380</v>
      </c>
      <c r="F21" s="16">
        <v>305</v>
      </c>
      <c r="G21">
        <f t="shared" si="0"/>
        <v>264.60000000000002</v>
      </c>
      <c r="W21" s="23" t="s">
        <v>71</v>
      </c>
      <c r="X21" s="23">
        <f>X12</f>
        <v>161075.14285714249</v>
      </c>
      <c r="Y21" s="23" t="e">
        <f ca="1">Y12*$AY$48</f>
        <v>#NAME?</v>
      </c>
      <c r="Z21" s="23" t="e">
        <f ca="1">X21/Y21</f>
        <v>#NAME?</v>
      </c>
      <c r="AA21" s="23"/>
      <c r="AB21" s="23"/>
      <c r="AC21" s="23"/>
      <c r="AI21" t="s">
        <v>121</v>
      </c>
      <c r="AQ21" t="s">
        <v>87</v>
      </c>
      <c r="AR21" t="e">
        <f ca="1">INDEX(AR15:AR19,AR14)</f>
        <v>#NAME?</v>
      </c>
      <c r="AS21" t="e">
        <f ca="1">INDEX(AS15:AS19,AS14)</f>
        <v>#NAME?</v>
      </c>
      <c r="AT21" t="e">
        <f ca="1">INDEX(AT15:AT19,AT14)</f>
        <v>#NAME?</v>
      </c>
      <c r="AU21" t="e">
        <f ca="1">INDEX(AU15:AU19,AU14)</f>
        <v>#NAME?</v>
      </c>
      <c r="AV21" t="e">
        <f ca="1">INDEX(AV15:AV19,AV14)</f>
        <v>#NAME?</v>
      </c>
      <c r="AX21" t="s">
        <v>51</v>
      </c>
      <c r="AY21" s="31" t="e">
        <f ca="1">AY19/AY20</f>
        <v>#NAME?</v>
      </c>
      <c r="BA21" t="s">
        <v>88</v>
      </c>
      <c r="BB21" s="27">
        <f>1/(BB15-1)</f>
        <v>0.25</v>
      </c>
      <c r="BD21" s="22">
        <v>230</v>
      </c>
      <c r="BE21" s="23">
        <v>306</v>
      </c>
      <c r="BF21" s="23">
        <v>432</v>
      </c>
      <c r="BG21" s="23">
        <v>386</v>
      </c>
      <c r="BH21" s="24">
        <v>423</v>
      </c>
      <c r="BI21" s="22">
        <v>3</v>
      </c>
      <c r="BJ21" s="23">
        <v>54</v>
      </c>
      <c r="BK21" s="23">
        <v>285</v>
      </c>
      <c r="BL21" s="23">
        <v>216</v>
      </c>
      <c r="BM21" s="24">
        <v>245</v>
      </c>
      <c r="BN21" s="22">
        <v>108</v>
      </c>
      <c r="BO21" s="23">
        <v>247</v>
      </c>
      <c r="BP21" s="23">
        <v>317</v>
      </c>
      <c r="BQ21" s="23">
        <v>307</v>
      </c>
      <c r="BR21" s="24">
        <v>324</v>
      </c>
    </row>
    <row r="22" spans="1:93" x14ac:dyDescent="0.35">
      <c r="A22" s="25"/>
      <c r="B22" s="14">
        <v>123</v>
      </c>
      <c r="C22" s="15">
        <v>331</v>
      </c>
      <c r="D22" s="15">
        <v>407</v>
      </c>
      <c r="E22" s="15">
        <v>461</v>
      </c>
      <c r="F22" s="16">
        <v>445</v>
      </c>
      <c r="G22">
        <f t="shared" si="0"/>
        <v>353.4</v>
      </c>
      <c r="AI22" s="18" t="s">
        <v>31</v>
      </c>
      <c r="AJ22" s="18" t="s">
        <v>25</v>
      </c>
      <c r="AK22" s="18" t="s">
        <v>26</v>
      </c>
      <c r="AL22" s="18" t="s">
        <v>27</v>
      </c>
      <c r="AM22" s="18" t="s">
        <v>32</v>
      </c>
      <c r="AN22" s="18" t="s">
        <v>33</v>
      </c>
      <c r="AO22" s="18" t="s">
        <v>43</v>
      </c>
      <c r="BU22" t="s">
        <v>3</v>
      </c>
      <c r="CC22" t="s">
        <v>40</v>
      </c>
    </row>
    <row r="23" spans="1:93" ht="15" thickBot="1" x14ac:dyDescent="0.4">
      <c r="A23" s="25"/>
      <c r="B23" s="14">
        <v>71</v>
      </c>
      <c r="C23" s="15">
        <v>285</v>
      </c>
      <c r="D23" s="15">
        <v>471</v>
      </c>
      <c r="E23" s="15">
        <v>407</v>
      </c>
      <c r="F23" s="16">
        <v>433</v>
      </c>
      <c r="G23">
        <f t="shared" si="0"/>
        <v>333.4</v>
      </c>
      <c r="W23" t="s">
        <v>122</v>
      </c>
      <c r="AI23" t="s">
        <v>49</v>
      </c>
      <c r="AJ23">
        <v>50063.599999999977</v>
      </c>
      <c r="AK23">
        <v>6</v>
      </c>
      <c r="AL23">
        <v>8343.9333333333288</v>
      </c>
      <c r="AM23">
        <v>4.6952211118360836</v>
      </c>
      <c r="AN23">
        <v>2.7144649208904891E-3</v>
      </c>
      <c r="AO23">
        <v>2.5081888234232559</v>
      </c>
      <c r="AR23">
        <v>1</v>
      </c>
      <c r="AS23">
        <f>AR23+1</f>
        <v>2</v>
      </c>
      <c r="AT23">
        <f>AS23+1</f>
        <v>3</v>
      </c>
      <c r="AU23">
        <f>AT23+1</f>
        <v>4</v>
      </c>
      <c r="AV23">
        <f>AU23+1</f>
        <v>5</v>
      </c>
      <c r="AX23" t="s">
        <v>36</v>
      </c>
      <c r="AY23" s="20">
        <f>$K$5</f>
        <v>5</v>
      </c>
      <c r="BA23" t="s">
        <v>37</v>
      </c>
      <c r="BB23" s="20">
        <f>$L$5</f>
        <v>7</v>
      </c>
      <c r="BE23" s="5" t="s">
        <v>95</v>
      </c>
      <c r="BF23" s="5" t="s">
        <v>96</v>
      </c>
      <c r="BG23" s="5" t="s">
        <v>97</v>
      </c>
      <c r="BH23" s="5" t="s">
        <v>98</v>
      </c>
      <c r="BI23" s="5" t="s">
        <v>99</v>
      </c>
      <c r="BJ23" s="5" t="s">
        <v>100</v>
      </c>
      <c r="BK23" s="5" t="s">
        <v>101</v>
      </c>
      <c r="BL23" s="5" t="s">
        <v>102</v>
      </c>
      <c r="BM23" s="5" t="s">
        <v>103</v>
      </c>
      <c r="BN23" s="5" t="s">
        <v>104</v>
      </c>
      <c r="BO23" s="5" t="s">
        <v>105</v>
      </c>
      <c r="BP23" s="5" t="s">
        <v>106</v>
      </c>
      <c r="BQ23" s="5" t="s">
        <v>107</v>
      </c>
      <c r="BR23" s="5" t="s">
        <v>108</v>
      </c>
      <c r="BS23" s="5" t="s">
        <v>109</v>
      </c>
    </row>
    <row r="24" spans="1:93" ht="15.5" thickTop="1" thickBot="1" x14ac:dyDescent="0.4">
      <c r="A24" s="31"/>
      <c r="B24" s="28">
        <v>108</v>
      </c>
      <c r="C24" s="29">
        <v>247</v>
      </c>
      <c r="D24" s="29">
        <v>317</v>
      </c>
      <c r="E24" s="29">
        <v>307</v>
      </c>
      <c r="F24" s="30">
        <v>324</v>
      </c>
      <c r="G24">
        <f t="shared" si="0"/>
        <v>260.60000000000002</v>
      </c>
      <c r="W24" s="18" t="s">
        <v>31</v>
      </c>
      <c r="X24" s="18" t="s">
        <v>25</v>
      </c>
      <c r="Y24" s="18" t="s">
        <v>26</v>
      </c>
      <c r="Z24" s="18" t="s">
        <v>27</v>
      </c>
      <c r="AA24" s="18" t="s">
        <v>32</v>
      </c>
      <c r="AB24" s="18" t="s">
        <v>33</v>
      </c>
      <c r="AC24" s="19" t="s">
        <v>34</v>
      </c>
      <c r="AI24" t="s">
        <v>58</v>
      </c>
      <c r="AJ24">
        <v>431398.11428571434</v>
      </c>
      <c r="AK24">
        <v>4</v>
      </c>
      <c r="AL24">
        <v>107849.52857142859</v>
      </c>
      <c r="AM24">
        <v>60.688090762566894</v>
      </c>
      <c r="AN24">
        <v>3.3537021761768956E-12</v>
      </c>
      <c r="AO24">
        <v>2.7762892892514786</v>
      </c>
      <c r="AQ24" t="str">
        <f>A11</f>
        <v>Middle</v>
      </c>
      <c r="AR24" s="6" t="e">
        <f t="array" aca="1" ref="AR24:AV28" ca="1">COV(B11:F17)</f>
        <v>#NAME?</v>
      </c>
      <c r="AS24" s="11" t="e">
        <f ca="1"/>
        <v>#NAME?</v>
      </c>
      <c r="AT24" s="11" t="e">
        <f ca="1"/>
        <v>#NAME?</v>
      </c>
      <c r="AU24" s="11" t="e">
        <f ca="1"/>
        <v>#NAME?</v>
      </c>
      <c r="AV24" s="12" t="e">
        <f ca="1"/>
        <v>#NAME?</v>
      </c>
      <c r="AX24" t="s">
        <v>44</v>
      </c>
      <c r="AY24" s="25" t="e">
        <f ca="1">AVERAGE(AR30:AV30)</f>
        <v>#NAME?</v>
      </c>
      <c r="BA24" t="s">
        <v>36</v>
      </c>
      <c r="BB24" s="25">
        <f>AY23</f>
        <v>5</v>
      </c>
      <c r="BD24" t="s">
        <v>45</v>
      </c>
      <c r="BE24">
        <f>MIN(BD15:BD21)</f>
        <v>65</v>
      </c>
      <c r="BF24">
        <f t="shared" ref="BF24:BS24" si="13">MIN(BE15:BE21)</f>
        <v>167</v>
      </c>
      <c r="BG24">
        <f t="shared" si="13"/>
        <v>257</v>
      </c>
      <c r="BH24">
        <f t="shared" si="13"/>
        <v>275</v>
      </c>
      <c r="BI24">
        <f t="shared" si="13"/>
        <v>298</v>
      </c>
      <c r="BJ24">
        <f t="shared" si="13"/>
        <v>3</v>
      </c>
      <c r="BK24">
        <f t="shared" si="13"/>
        <v>54</v>
      </c>
      <c r="BL24">
        <f t="shared" si="13"/>
        <v>193</v>
      </c>
      <c r="BM24">
        <f t="shared" si="13"/>
        <v>216</v>
      </c>
      <c r="BN24">
        <f t="shared" si="13"/>
        <v>233</v>
      </c>
      <c r="BO24">
        <f t="shared" si="13"/>
        <v>38</v>
      </c>
      <c r="BP24">
        <f t="shared" si="13"/>
        <v>124</v>
      </c>
      <c r="BQ24">
        <f t="shared" si="13"/>
        <v>289</v>
      </c>
      <c r="BR24">
        <f t="shared" si="13"/>
        <v>307</v>
      </c>
      <c r="BS24">
        <f t="shared" si="13"/>
        <v>295</v>
      </c>
      <c r="BU24" s="5" t="s">
        <v>21</v>
      </c>
      <c r="BV24" s="5" t="s">
        <v>38</v>
      </c>
      <c r="BW24" s="5" t="s">
        <v>39</v>
      </c>
      <c r="BX24" s="26"/>
      <c r="BY24" s="5" t="s">
        <v>21</v>
      </c>
      <c r="BZ24" s="5" t="s">
        <v>38</v>
      </c>
      <c r="CA24" s="5" t="s">
        <v>39</v>
      </c>
      <c r="CC24" t="s">
        <v>53</v>
      </c>
    </row>
    <row r="25" spans="1:93" x14ac:dyDescent="0.35">
      <c r="W25" t="s">
        <v>22</v>
      </c>
      <c r="X25">
        <f>X10</f>
        <v>1025800.38095238</v>
      </c>
      <c r="Y25" t="e">
        <f ca="1">Y10*$BB$47</f>
        <v>#NAME?</v>
      </c>
      <c r="Z25" t="e">
        <f ca="1">X25/Y25</f>
        <v>#NAME?</v>
      </c>
      <c r="AA25" t="e">
        <f ca="1">Z25/Z27</f>
        <v>#NAME?</v>
      </c>
      <c r="AB25" t="e">
        <f ca="1">F_DIST_RT(AA25,Y25,Y27)</f>
        <v>#NAME?</v>
      </c>
      <c r="AC25">
        <f>X25/X27</f>
        <v>6.3684586135190466</v>
      </c>
      <c r="AI25" t="s">
        <v>71</v>
      </c>
      <c r="AJ25">
        <v>42650.685714285704</v>
      </c>
      <c r="AK25">
        <v>24</v>
      </c>
      <c r="AL25">
        <v>1777.1119047619043</v>
      </c>
      <c r="AR25" s="13" t="e">
        <f ca="1"/>
        <v>#NAME?</v>
      </c>
      <c r="AS25" t="e">
        <f ca="1"/>
        <v>#NAME?</v>
      </c>
      <c r="AT25" t="e">
        <f ca="1"/>
        <v>#NAME?</v>
      </c>
      <c r="AU25" t="e">
        <f ca="1"/>
        <v>#NAME?</v>
      </c>
      <c r="AV25" s="21" t="e">
        <f ca="1"/>
        <v>#NAME?</v>
      </c>
      <c r="AX25" t="s">
        <v>50</v>
      </c>
      <c r="AY25" s="25" t="e">
        <f ca="1">AVERAGE(AR24:AV28)</f>
        <v>#NAME?</v>
      </c>
      <c r="BA25" t="s">
        <v>51</v>
      </c>
      <c r="BB25" s="25" t="e">
        <f ca="1">AY30</f>
        <v>#NAME?</v>
      </c>
      <c r="BD25" t="s">
        <v>52</v>
      </c>
      <c r="BE25">
        <f>QUARTILE(BD15:BD21,1)-BE24</f>
        <v>63.5</v>
      </c>
      <c r="BF25">
        <f t="shared" ref="BF25:BS25" si="14">QUARTILE(BE15:BE21,1)-BF24</f>
        <v>67</v>
      </c>
      <c r="BG25">
        <f t="shared" si="14"/>
        <v>105.5</v>
      </c>
      <c r="BH25">
        <f t="shared" si="14"/>
        <v>54.5</v>
      </c>
      <c r="BI25">
        <f t="shared" si="14"/>
        <v>39</v>
      </c>
      <c r="BJ25">
        <f t="shared" si="14"/>
        <v>21.5</v>
      </c>
      <c r="BK25">
        <f t="shared" si="14"/>
        <v>29.5</v>
      </c>
      <c r="BL25">
        <f t="shared" si="14"/>
        <v>91</v>
      </c>
      <c r="BM25">
        <f t="shared" si="14"/>
        <v>33.5</v>
      </c>
      <c r="BN25">
        <f t="shared" si="14"/>
        <v>23.5</v>
      </c>
      <c r="BO25">
        <f t="shared" si="14"/>
        <v>33</v>
      </c>
      <c r="BP25">
        <f t="shared" si="14"/>
        <v>85</v>
      </c>
      <c r="BQ25">
        <f t="shared" si="14"/>
        <v>47.5</v>
      </c>
      <c r="BR25">
        <f t="shared" si="14"/>
        <v>33</v>
      </c>
      <c r="BS25">
        <f t="shared" si="14"/>
        <v>19.5</v>
      </c>
      <c r="BU25" s="6">
        <f t="shared" ref="BU25:BU31" si="15">C4</f>
        <v>278</v>
      </c>
      <c r="BV25" s="11">
        <f t="shared" ref="BV25:BV31" si="16">C11</f>
        <v>172</v>
      </c>
      <c r="BW25" s="12">
        <f t="shared" ref="BW25:BW31" si="17">C18</f>
        <v>124</v>
      </c>
      <c r="BY25" s="6">
        <f>ABS(BU25-BU$32)</f>
        <v>18.142857142857167</v>
      </c>
      <c r="BZ25" s="11">
        <f>ABS(BV25-BV$32)</f>
        <v>52.857142857142861</v>
      </c>
      <c r="CA25" s="12">
        <f>ABS(BW25-BW$32)</f>
        <v>114.71428571428572</v>
      </c>
      <c r="CC25" s="18" t="s">
        <v>62</v>
      </c>
      <c r="CD25" s="18" t="s">
        <v>63</v>
      </c>
      <c r="CE25" s="18" t="s">
        <v>64</v>
      </c>
      <c r="CF25" s="18" t="s">
        <v>65</v>
      </c>
      <c r="CG25" s="18" t="s">
        <v>66</v>
      </c>
    </row>
    <row r="26" spans="1:93" x14ac:dyDescent="0.35">
      <c r="W26" s="17" t="s">
        <v>80</v>
      </c>
      <c r="X26">
        <f>X11</f>
        <v>38740.076190477121</v>
      </c>
      <c r="Y26" t="e">
        <f ca="1">Y11*$BB$47</f>
        <v>#NAME?</v>
      </c>
      <c r="Z26" t="e">
        <f ca="1">X26/Y26</f>
        <v>#NAME?</v>
      </c>
      <c r="AA26" t="e">
        <f ca="1">Z26/Z27</f>
        <v>#NAME?</v>
      </c>
      <c r="AB26" t="e">
        <f ca="1">F_DIST_RT(AA26,Y26,Y27)</f>
        <v>#NAME?</v>
      </c>
      <c r="AC26">
        <f t="shared" ref="AC26" si="18">X26/X27</f>
        <v>0.24050933932640176</v>
      </c>
      <c r="AR26" s="13" t="e">
        <f ca="1"/>
        <v>#NAME?</v>
      </c>
      <c r="AS26" t="e">
        <f ca="1"/>
        <v>#NAME?</v>
      </c>
      <c r="AT26" t="e">
        <f ca="1"/>
        <v>#NAME?</v>
      </c>
      <c r="AU26" t="e">
        <f ca="1"/>
        <v>#NAME?</v>
      </c>
      <c r="AV26" s="21" t="e">
        <f ca="1"/>
        <v>#NAME?</v>
      </c>
      <c r="AX26" t="s">
        <v>59</v>
      </c>
      <c r="AY26" s="25" t="e">
        <f ca="1">SUMSQ(AR24:AV28)</f>
        <v>#NAME?</v>
      </c>
      <c r="BA26" t="s">
        <v>60</v>
      </c>
      <c r="BB26" s="25" t="e">
        <f ca="1">BB23*(BB24-1)*BB25-2</f>
        <v>#NAME?</v>
      </c>
      <c r="BD26" t="s">
        <v>61</v>
      </c>
      <c r="BE26">
        <f>MEDIAN(BD15:BD21)-QUARTILE(BD15:BD21,1)</f>
        <v>101.5</v>
      </c>
      <c r="BF26">
        <f t="shared" ref="BF26:BS26" si="19">MEDIAN(BE15:BE21)-QUARTILE(BE15:BE21,1)</f>
        <v>44</v>
      </c>
      <c r="BG26">
        <f t="shared" si="19"/>
        <v>38.5</v>
      </c>
      <c r="BH26">
        <f t="shared" si="19"/>
        <v>52.5</v>
      </c>
      <c r="BI26">
        <f t="shared" si="19"/>
        <v>30</v>
      </c>
      <c r="BJ26">
        <f t="shared" si="19"/>
        <v>9.5</v>
      </c>
      <c r="BK26">
        <f t="shared" si="19"/>
        <v>32.5</v>
      </c>
      <c r="BL26">
        <f t="shared" si="19"/>
        <v>23</v>
      </c>
      <c r="BM26">
        <f t="shared" si="19"/>
        <v>11.5</v>
      </c>
      <c r="BN26">
        <f t="shared" si="19"/>
        <v>16.5</v>
      </c>
      <c r="BO26">
        <f t="shared" si="19"/>
        <v>12</v>
      </c>
      <c r="BP26">
        <f t="shared" si="19"/>
        <v>38</v>
      </c>
      <c r="BQ26">
        <f t="shared" si="19"/>
        <v>28.5</v>
      </c>
      <c r="BR26">
        <f t="shared" si="19"/>
        <v>40</v>
      </c>
      <c r="BS26">
        <f t="shared" si="19"/>
        <v>16.5</v>
      </c>
      <c r="BU26" s="13">
        <f t="shared" si="15"/>
        <v>207</v>
      </c>
      <c r="BV26">
        <f t="shared" si="16"/>
        <v>116</v>
      </c>
      <c r="BW26" s="21">
        <f t="shared" si="17"/>
        <v>266</v>
      </c>
      <c r="BY26" s="13">
        <f t="shared" ref="BY26:CA31" si="20">ABS(BU26-BU$32)</f>
        <v>52.857142857142833</v>
      </c>
      <c r="BZ26">
        <f t="shared" si="20"/>
        <v>3.1428571428571388</v>
      </c>
      <c r="CA26" s="21">
        <f t="shared" si="20"/>
        <v>27.285714285714278</v>
      </c>
      <c r="CC26" t="s">
        <v>21</v>
      </c>
      <c r="CD26">
        <v>7</v>
      </c>
      <c r="CE26">
        <v>291.4285714285715</v>
      </c>
      <c r="CF26">
        <v>41.632653061224502</v>
      </c>
      <c r="CG26">
        <v>892.98542274052397</v>
      </c>
    </row>
    <row r="27" spans="1:93" ht="15" thickBot="1" x14ac:dyDescent="0.4">
      <c r="W27" s="23" t="s">
        <v>71</v>
      </c>
      <c r="X27" s="23">
        <f>X12</f>
        <v>161075.14285714249</v>
      </c>
      <c r="Y27" s="23" t="e">
        <f ca="1">Y12*$BB$47</f>
        <v>#NAME?</v>
      </c>
      <c r="Z27" s="23" t="e">
        <f ca="1">X27/Y27</f>
        <v>#NAME?</v>
      </c>
      <c r="AA27" s="23"/>
      <c r="AB27" s="23"/>
      <c r="AC27" s="23"/>
      <c r="AI27" s="32" t="s">
        <v>30</v>
      </c>
      <c r="AJ27" s="32">
        <v>524112.4</v>
      </c>
      <c r="AK27" s="32">
        <v>34</v>
      </c>
      <c r="AL27" s="32"/>
      <c r="AM27" s="32"/>
      <c r="AN27" s="32"/>
      <c r="AO27" s="32"/>
      <c r="AR27" s="13" t="e">
        <f ca="1"/>
        <v>#NAME?</v>
      </c>
      <c r="AS27" t="e">
        <f ca="1"/>
        <v>#NAME?</v>
      </c>
      <c r="AT27" t="e">
        <f ca="1"/>
        <v>#NAME?</v>
      </c>
      <c r="AU27" t="e">
        <f ca="1"/>
        <v>#NAME?</v>
      </c>
      <c r="AV27" s="21" t="e">
        <f ca="1"/>
        <v>#NAME?</v>
      </c>
      <c r="AX27" t="s">
        <v>72</v>
      </c>
      <c r="AY27" s="25" t="e">
        <f ca="1">SUMSQ(AR29:AV29)</f>
        <v>#NAME?</v>
      </c>
      <c r="BA27" t="s">
        <v>73</v>
      </c>
      <c r="BB27" s="25" t="e">
        <f ca="1">(BB24-1)*(BB23-1-(BB24-1)*BB25)</f>
        <v>#NAME?</v>
      </c>
      <c r="BD27" t="s">
        <v>74</v>
      </c>
      <c r="BE27">
        <f>QUARTILE(BD15:BD21,3)-MEDIAN(BD15:BD21)</f>
        <v>15.5</v>
      </c>
      <c r="BF27">
        <f t="shared" ref="BF27:BS27" si="21">QUARTILE(BE15:BE21,3)-MEDIAN(BE15:BE21)</f>
        <v>18</v>
      </c>
      <c r="BG27">
        <f t="shared" si="21"/>
        <v>26.5</v>
      </c>
      <c r="BH27">
        <f t="shared" si="21"/>
        <v>18.5</v>
      </c>
      <c r="BI27">
        <f t="shared" si="21"/>
        <v>72.5</v>
      </c>
      <c r="BJ27">
        <f t="shared" si="21"/>
        <v>13.5</v>
      </c>
      <c r="BK27">
        <f t="shared" si="21"/>
        <v>46.5</v>
      </c>
      <c r="BL27">
        <f t="shared" si="21"/>
        <v>57.5</v>
      </c>
      <c r="BM27">
        <f t="shared" si="21"/>
        <v>37.5</v>
      </c>
      <c r="BN27">
        <f t="shared" si="21"/>
        <v>67</v>
      </c>
      <c r="BO27">
        <f t="shared" si="21"/>
        <v>30</v>
      </c>
      <c r="BP27">
        <f t="shared" si="21"/>
        <v>28.5</v>
      </c>
      <c r="BQ27">
        <f t="shared" si="21"/>
        <v>29.5</v>
      </c>
      <c r="BR27">
        <f t="shared" si="21"/>
        <v>16</v>
      </c>
      <c r="BS27">
        <f t="shared" si="21"/>
        <v>72</v>
      </c>
      <c r="BU27" s="13">
        <f t="shared" si="15"/>
        <v>261</v>
      </c>
      <c r="BV27">
        <f t="shared" si="16"/>
        <v>168</v>
      </c>
      <c r="BW27" s="21">
        <f t="shared" si="17"/>
        <v>207</v>
      </c>
      <c r="BY27" s="13">
        <f t="shared" si="20"/>
        <v>1.1428571428571672</v>
      </c>
      <c r="BZ27">
        <f t="shared" si="20"/>
        <v>48.857142857142861</v>
      </c>
      <c r="CA27" s="21">
        <f t="shared" si="20"/>
        <v>31.714285714285722</v>
      </c>
      <c r="CC27" t="s">
        <v>38</v>
      </c>
      <c r="CD27">
        <v>7</v>
      </c>
      <c r="CE27">
        <v>279.14285714285711</v>
      </c>
      <c r="CF27">
        <v>39.877551020408156</v>
      </c>
      <c r="CG27">
        <v>381.55393586005874</v>
      </c>
    </row>
    <row r="28" spans="1:93" ht="15" thickBot="1" x14ac:dyDescent="0.4">
      <c r="AR28" s="22" t="e">
        <f ca="1"/>
        <v>#NAME?</v>
      </c>
      <c r="AS28" s="23" t="e">
        <f ca="1"/>
        <v>#NAME?</v>
      </c>
      <c r="AT28" s="23" t="e">
        <f ca="1"/>
        <v>#NAME?</v>
      </c>
      <c r="AU28" s="23" t="e">
        <f ca="1"/>
        <v>#NAME?</v>
      </c>
      <c r="AV28" s="24" t="e">
        <f ca="1"/>
        <v>#NAME?</v>
      </c>
      <c r="AX28" t="s">
        <v>77</v>
      </c>
      <c r="AY28" s="25" t="e">
        <f ca="1">(AY23*(AY24-AY25))^2</f>
        <v>#NAME?</v>
      </c>
      <c r="BA28" t="s">
        <v>78</v>
      </c>
      <c r="BB28" s="31" t="e">
        <f ca="1">MIN(BB26/BB27,1)</f>
        <v>#NAME?</v>
      </c>
      <c r="BD28" t="s">
        <v>79</v>
      </c>
      <c r="BE28">
        <f>MAX(BD15:BD21)-QUARTILE(BD15:BD21,3)</f>
        <v>5.5</v>
      </c>
      <c r="BF28">
        <f t="shared" ref="BF28:BS28" si="22">MAX(BE15:BE21)-QUARTILE(BE15:BE21,3)</f>
        <v>18</v>
      </c>
      <c r="BG28">
        <f t="shared" si="22"/>
        <v>14.5</v>
      </c>
      <c r="BH28">
        <f t="shared" si="22"/>
        <v>20.5</v>
      </c>
      <c r="BI28">
        <f t="shared" si="22"/>
        <v>28.5</v>
      </c>
      <c r="BJ28">
        <f t="shared" si="22"/>
        <v>152.5</v>
      </c>
      <c r="BK28">
        <f t="shared" si="22"/>
        <v>9.5</v>
      </c>
      <c r="BL28">
        <f t="shared" si="22"/>
        <v>60.5</v>
      </c>
      <c r="BM28">
        <f t="shared" si="22"/>
        <v>99.5</v>
      </c>
      <c r="BN28">
        <f t="shared" si="22"/>
        <v>130</v>
      </c>
      <c r="BO28">
        <f t="shared" si="22"/>
        <v>10</v>
      </c>
      <c r="BP28">
        <f t="shared" si="22"/>
        <v>55.5</v>
      </c>
      <c r="BQ28">
        <f t="shared" si="22"/>
        <v>76.5</v>
      </c>
      <c r="BR28">
        <f t="shared" si="22"/>
        <v>65</v>
      </c>
      <c r="BS28">
        <f t="shared" si="22"/>
        <v>42</v>
      </c>
      <c r="BU28" s="13">
        <f t="shared" si="15"/>
        <v>314</v>
      </c>
      <c r="BV28">
        <f t="shared" si="16"/>
        <v>157</v>
      </c>
      <c r="BW28" s="21">
        <f t="shared" si="17"/>
        <v>211</v>
      </c>
      <c r="BY28" s="13">
        <f t="shared" si="20"/>
        <v>54.142857142857167</v>
      </c>
      <c r="BZ28">
        <f t="shared" si="20"/>
        <v>37.857142857142861</v>
      </c>
      <c r="CA28" s="21">
        <f t="shared" si="20"/>
        <v>27.714285714285722</v>
      </c>
      <c r="CC28" s="32" t="s">
        <v>39</v>
      </c>
      <c r="CD28" s="32">
        <v>7</v>
      </c>
      <c r="CE28" s="32">
        <v>348.28571428571428</v>
      </c>
      <c r="CF28" s="32">
        <v>49.755102040816325</v>
      </c>
      <c r="CG28" s="32">
        <v>1512.7395529640442</v>
      </c>
    </row>
    <row r="29" spans="1:93" x14ac:dyDescent="0.35">
      <c r="AI29" t="s">
        <v>123</v>
      </c>
      <c r="AL29">
        <f>(AL9+AL17+AL25)/3</f>
        <v>2237.1547619047633</v>
      </c>
      <c r="AQ29" t="s">
        <v>82</v>
      </c>
      <c r="AR29" t="e">
        <f ca="1">AVERAGE(AR24:AR28)</f>
        <v>#NAME?</v>
      </c>
      <c r="AS29" t="e">
        <f ca="1">AVERAGE(AS24:AS28)</f>
        <v>#NAME?</v>
      </c>
      <c r="AT29" t="e">
        <f ca="1">AVERAGE(AT24:AT28)</f>
        <v>#NAME?</v>
      </c>
      <c r="AU29" t="e">
        <f ca="1">AVERAGE(AU24:AU28)</f>
        <v>#NAME?</v>
      </c>
      <c r="AV29" t="e">
        <f ca="1">AVERAGE(AV24:AV28)</f>
        <v>#NAME?</v>
      </c>
      <c r="AX29" t="s">
        <v>83</v>
      </c>
      <c r="AY29" s="25" t="e">
        <f ca="1">(AY23-1)*(AY26-2*AY23*AY27+AY23^2*AY25^2)</f>
        <v>#NAME?</v>
      </c>
      <c r="BU29" s="13">
        <f t="shared" si="15"/>
        <v>167</v>
      </c>
      <c r="BV29">
        <f t="shared" si="16"/>
        <v>86</v>
      </c>
      <c r="BW29" s="21">
        <f t="shared" si="17"/>
        <v>331</v>
      </c>
      <c r="BY29" s="13">
        <f t="shared" si="20"/>
        <v>92.857142857142833</v>
      </c>
      <c r="BZ29">
        <f t="shared" si="20"/>
        <v>33.142857142857139</v>
      </c>
      <c r="CA29" s="21">
        <f t="shared" si="20"/>
        <v>92.285714285714278</v>
      </c>
    </row>
    <row r="30" spans="1:93" x14ac:dyDescent="0.35">
      <c r="AQ30" t="s">
        <v>87</v>
      </c>
      <c r="AR30" t="e">
        <f ca="1">INDEX(AR24:AR28,AR23)</f>
        <v>#NAME?</v>
      </c>
      <c r="AS30" t="e">
        <f ca="1">INDEX(AS24:AS28,AS23)</f>
        <v>#NAME?</v>
      </c>
      <c r="AT30" t="e">
        <f ca="1">INDEX(AT24:AT28,AT23)</f>
        <v>#NAME?</v>
      </c>
      <c r="AU30" t="e">
        <f ca="1">INDEX(AU24:AU28,AU23)</f>
        <v>#NAME?</v>
      </c>
      <c r="AV30" t="e">
        <f ca="1">INDEX(AV24:AV28,AV23)</f>
        <v>#NAME?</v>
      </c>
      <c r="AX30" t="s">
        <v>51</v>
      </c>
      <c r="AY30" s="31" t="e">
        <f ca="1">AY28/AY29</f>
        <v>#NAME?</v>
      </c>
      <c r="BA30" t="s">
        <v>88</v>
      </c>
      <c r="BB30" s="27">
        <f>1/(BB24-1)</f>
        <v>0.25</v>
      </c>
      <c r="BU30" s="13">
        <f t="shared" si="15"/>
        <v>286</v>
      </c>
      <c r="BV30">
        <f t="shared" si="16"/>
        <v>81</v>
      </c>
      <c r="BW30" s="21">
        <f t="shared" si="17"/>
        <v>285</v>
      </c>
      <c r="BY30" s="13">
        <f t="shared" si="20"/>
        <v>26.142857142857167</v>
      </c>
      <c r="BZ30">
        <f t="shared" si="20"/>
        <v>38.142857142857139</v>
      </c>
      <c r="CA30" s="21">
        <f t="shared" si="20"/>
        <v>46.285714285714278</v>
      </c>
    </row>
    <row r="31" spans="1:93" ht="15" thickBot="1" x14ac:dyDescent="0.4">
      <c r="AI31" t="s">
        <v>124</v>
      </c>
      <c r="BU31" s="22">
        <f t="shared" si="15"/>
        <v>306</v>
      </c>
      <c r="BV31" s="23">
        <f t="shared" si="16"/>
        <v>54</v>
      </c>
      <c r="BW31" s="24">
        <f t="shared" si="17"/>
        <v>247</v>
      </c>
      <c r="BY31" s="22">
        <f t="shared" si="20"/>
        <v>46.142857142857167</v>
      </c>
      <c r="BZ31" s="23">
        <f t="shared" si="20"/>
        <v>65.142857142857139</v>
      </c>
      <c r="CA31" s="24">
        <f t="shared" si="20"/>
        <v>8.2857142857142776</v>
      </c>
      <c r="CC31" t="s">
        <v>28</v>
      </c>
    </row>
    <row r="32" spans="1:93" x14ac:dyDescent="0.35">
      <c r="AR32">
        <v>1</v>
      </c>
      <c r="AS32">
        <f>AR32+1</f>
        <v>2</v>
      </c>
      <c r="AT32">
        <f>AS32+1</f>
        <v>3</v>
      </c>
      <c r="AU32">
        <f>AT32+1</f>
        <v>4</v>
      </c>
      <c r="AV32">
        <f>AU32+1</f>
        <v>5</v>
      </c>
      <c r="AX32" t="s">
        <v>36</v>
      </c>
      <c r="AY32" s="20">
        <f>$K$5</f>
        <v>5</v>
      </c>
      <c r="BA32" t="s">
        <v>37</v>
      </c>
      <c r="BB32" s="20">
        <f>$L$5</f>
        <v>7</v>
      </c>
      <c r="BT32" t="s">
        <v>82</v>
      </c>
      <c r="BU32">
        <f>AVERAGE(BU25:BU31)</f>
        <v>259.85714285714283</v>
      </c>
      <c r="BV32">
        <f>AVERAGE(BV25:BV31)</f>
        <v>119.14285714285714</v>
      </c>
      <c r="BW32">
        <f>AVERAGE(BW25:BW31)</f>
        <v>238.71428571428572</v>
      </c>
      <c r="CC32" s="18" t="s">
        <v>31</v>
      </c>
      <c r="CD32" s="18" t="s">
        <v>25</v>
      </c>
      <c r="CE32" s="18" t="s">
        <v>26</v>
      </c>
      <c r="CF32" s="18" t="s">
        <v>27</v>
      </c>
      <c r="CG32" s="18" t="s">
        <v>32</v>
      </c>
      <c r="CH32" s="18" t="s">
        <v>33</v>
      </c>
      <c r="CI32" s="18" t="s">
        <v>43</v>
      </c>
    </row>
    <row r="33" spans="15:87" ht="15" thickBot="1" x14ac:dyDescent="0.4">
      <c r="Q33" t="s">
        <v>125</v>
      </c>
      <c r="AI33" t="s">
        <v>126</v>
      </c>
      <c r="AQ33" t="str">
        <f>A18</f>
        <v>Old</v>
      </c>
      <c r="AR33" s="6" t="e">
        <f t="array" aca="1" ref="AR33:AV37" ca="1">COV(B18:F24)</f>
        <v>#NAME?</v>
      </c>
      <c r="AS33" s="11" t="e">
        <f ca="1"/>
        <v>#NAME?</v>
      </c>
      <c r="AT33" s="11" t="e">
        <f ca="1"/>
        <v>#NAME?</v>
      </c>
      <c r="AU33" s="11" t="e">
        <f ca="1"/>
        <v>#NAME?</v>
      </c>
      <c r="AV33" s="12" t="e">
        <f ca="1"/>
        <v>#NAME?</v>
      </c>
      <c r="AX33" t="s">
        <v>44</v>
      </c>
      <c r="AY33" s="25" t="e">
        <f ca="1">AVERAGE(AR39:AV39)</f>
        <v>#NAME?</v>
      </c>
      <c r="BA33" t="s">
        <v>36</v>
      </c>
      <c r="BB33" s="25">
        <f>AY32</f>
        <v>5</v>
      </c>
      <c r="BT33" t="s">
        <v>87</v>
      </c>
      <c r="BU33">
        <f>VAR(BU25:BU32)</f>
        <v>2498.693877551023</v>
      </c>
      <c r="BV33">
        <f>VAR(BV25:BV31)</f>
        <v>2236.8095238095243</v>
      </c>
      <c r="BW33">
        <f>VAR(BW25:BW31)</f>
        <v>4400.9047619047633</v>
      </c>
      <c r="CC33" t="s">
        <v>113</v>
      </c>
      <c r="CD33">
        <v>388.78134110786777</v>
      </c>
      <c r="CE33">
        <v>2</v>
      </c>
      <c r="CF33">
        <v>194.39067055393389</v>
      </c>
      <c r="CG33">
        <v>0.20922628490538858</v>
      </c>
      <c r="CH33">
        <v>0.8131567763088754</v>
      </c>
      <c r="CI33">
        <v>3.5545571456617879</v>
      </c>
    </row>
    <row r="34" spans="15:87" x14ac:dyDescent="0.35">
      <c r="AI34" s="18" t="s">
        <v>31</v>
      </c>
      <c r="AJ34" s="18" t="s">
        <v>25</v>
      </c>
      <c r="AK34" s="18" t="s">
        <v>26</v>
      </c>
      <c r="AL34" s="18" t="s">
        <v>27</v>
      </c>
      <c r="AM34" s="18" t="s">
        <v>32</v>
      </c>
      <c r="AN34" s="18" t="s">
        <v>33</v>
      </c>
      <c r="AO34" s="18" t="s">
        <v>43</v>
      </c>
      <c r="AR34" s="13" t="e">
        <f ca="1"/>
        <v>#NAME?</v>
      </c>
      <c r="AS34" t="e">
        <f ca="1"/>
        <v>#NAME?</v>
      </c>
      <c r="AT34" t="e">
        <f ca="1"/>
        <v>#NAME?</v>
      </c>
      <c r="AU34" t="e">
        <f ca="1"/>
        <v>#NAME?</v>
      </c>
      <c r="AV34" s="21" t="e">
        <f ca="1"/>
        <v>#NAME?</v>
      </c>
      <c r="AX34" t="s">
        <v>50</v>
      </c>
      <c r="AY34" s="25" t="e">
        <f ca="1">AVERAGE(AR33:AV37)</f>
        <v>#NAME?</v>
      </c>
      <c r="BA34" t="s">
        <v>51</v>
      </c>
      <c r="BB34" s="25" t="e">
        <f ca="1">AY39</f>
        <v>#NAME?</v>
      </c>
      <c r="CC34" t="s">
        <v>117</v>
      </c>
      <c r="CD34">
        <v>16723.673469387752</v>
      </c>
      <c r="CE34">
        <v>18</v>
      </c>
      <c r="CF34">
        <v>929.0929705215417</v>
      </c>
    </row>
    <row r="35" spans="15:87" x14ac:dyDescent="0.35">
      <c r="R35" s="4" t="s">
        <v>24</v>
      </c>
      <c r="S35" s="4" t="s">
        <v>25</v>
      </c>
      <c r="T35" s="4" t="s">
        <v>26</v>
      </c>
      <c r="U35" s="4" t="s">
        <v>27</v>
      </c>
      <c r="AI35" t="s">
        <v>58</v>
      </c>
      <c r="AJ35">
        <f>AJ8</f>
        <v>220968.45714285711</v>
      </c>
      <c r="AK35" t="e">
        <f ca="1">AK8*AY53</f>
        <v>#NAME?</v>
      </c>
      <c r="AL35" t="e">
        <f ca="1">AJ35/AK35</f>
        <v>#NAME?</v>
      </c>
      <c r="AM35" t="e">
        <f ca="1">AL35/AL36</f>
        <v>#NAME?</v>
      </c>
      <c r="AN35" t="e">
        <f ca="1">F_DIST_RT(AM35,AK35,AK36)</f>
        <v>#NAME?</v>
      </c>
      <c r="AO35" t="e">
        <f ca="1">F_INV_RT(0.05,AK35,AK36)</f>
        <v>#NAME?</v>
      </c>
      <c r="AR35" s="13" t="e">
        <f ca="1"/>
        <v>#NAME?</v>
      </c>
      <c r="AS35" t="e">
        <f ca="1"/>
        <v>#NAME?</v>
      </c>
      <c r="AT35" t="e">
        <f ca="1"/>
        <v>#NAME?</v>
      </c>
      <c r="AU35" t="e">
        <f ca="1"/>
        <v>#NAME?</v>
      </c>
      <c r="AV35" s="21" t="e">
        <f ca="1"/>
        <v>#NAME?</v>
      </c>
      <c r="AX35" t="s">
        <v>59</v>
      </c>
      <c r="AY35" s="25" t="e">
        <f ca="1">SUMSQ(AR33:AV37)</f>
        <v>#NAME?</v>
      </c>
      <c r="BA35" t="s">
        <v>60</v>
      </c>
      <c r="BB35" s="25" t="e">
        <f ca="1">BB32*(BB33-1)*BB34-2</f>
        <v>#NAME?</v>
      </c>
    </row>
    <row r="36" spans="15:87" ht="15" thickBot="1" x14ac:dyDescent="0.4">
      <c r="Q36" s="17" t="s">
        <v>127</v>
      </c>
      <c r="R36" s="6">
        <f>L5</f>
        <v>7</v>
      </c>
      <c r="S36" s="11">
        <f>DEVSQ(J9:J11)*R36</f>
        <v>64383.523809523816</v>
      </c>
      <c r="T36" s="11">
        <f>J5-1</f>
        <v>2</v>
      </c>
      <c r="U36" s="12">
        <f>S36/T36</f>
        <v>32191.761904761908</v>
      </c>
      <c r="AI36" s="23" t="s">
        <v>71</v>
      </c>
      <c r="AJ36" s="23">
        <f>AJ9</f>
        <v>39515.542857142922</v>
      </c>
      <c r="AK36" s="23" t="e">
        <f ca="1">AK9*AY53</f>
        <v>#NAME?</v>
      </c>
      <c r="AL36" s="23" t="e">
        <f ca="1">AJ36/AK36</f>
        <v>#NAME?</v>
      </c>
      <c r="AM36" s="23"/>
      <c r="AN36" s="23"/>
      <c r="AO36" s="23"/>
      <c r="AR36" s="13" t="e">
        <f ca="1"/>
        <v>#NAME?</v>
      </c>
      <c r="AS36" t="e">
        <f ca="1"/>
        <v>#NAME?</v>
      </c>
      <c r="AT36" t="e">
        <f ca="1"/>
        <v>#NAME?</v>
      </c>
      <c r="AU36" t="e">
        <f ca="1"/>
        <v>#NAME?</v>
      </c>
      <c r="AV36" s="21" t="e">
        <f ca="1"/>
        <v>#NAME?</v>
      </c>
      <c r="AX36" t="s">
        <v>72</v>
      </c>
      <c r="AY36" s="25" t="e">
        <f ca="1">SUMSQ(AR38:AV38)</f>
        <v>#NAME?</v>
      </c>
      <c r="BA36" t="s">
        <v>73</v>
      </c>
      <c r="BB36" s="25" t="e">
        <f ca="1">(BB33-1)*(BB32-1-(BB33-1)*BB34)</f>
        <v>#NAME?</v>
      </c>
      <c r="CC36" s="32" t="s">
        <v>30</v>
      </c>
      <c r="CD36" s="32">
        <v>17112.454810495619</v>
      </c>
      <c r="CE36" s="32">
        <v>20</v>
      </c>
      <c r="CF36" s="32"/>
      <c r="CG36" s="32"/>
      <c r="CH36" s="32"/>
      <c r="CI36" s="32"/>
    </row>
    <row r="37" spans="15:87" x14ac:dyDescent="0.35">
      <c r="Q37" s="17" t="s">
        <v>128</v>
      </c>
      <c r="R37" s="13">
        <f>L5</f>
        <v>7</v>
      </c>
      <c r="S37">
        <f>DEVSQ(N9:N11)*R37</f>
        <v>19678.952380952396</v>
      </c>
      <c r="T37">
        <f>J5-1</f>
        <v>2</v>
      </c>
      <c r="U37" s="21">
        <f>S37/T37</f>
        <v>9839.4761904761981</v>
      </c>
      <c r="AR37" s="22" t="e">
        <f ca="1"/>
        <v>#NAME?</v>
      </c>
      <c r="AS37" s="23" t="e">
        <f ca="1"/>
        <v>#NAME?</v>
      </c>
      <c r="AT37" s="23" t="e">
        <f ca="1"/>
        <v>#NAME?</v>
      </c>
      <c r="AU37" s="23" t="e">
        <f ca="1"/>
        <v>#NAME?</v>
      </c>
      <c r="AV37" s="24" t="e">
        <f ca="1"/>
        <v>#NAME?</v>
      </c>
      <c r="AX37" t="s">
        <v>77</v>
      </c>
      <c r="AY37" s="25" t="e">
        <f ca="1">(AY32*(AY33-AY34))^2</f>
        <v>#NAME?</v>
      </c>
      <c r="BA37" t="s">
        <v>78</v>
      </c>
      <c r="BB37" s="31" t="e">
        <f ca="1">MIN(BB35/BB36,1)</f>
        <v>#NAME?</v>
      </c>
    </row>
    <row r="38" spans="15:87" ht="15" thickBot="1" x14ac:dyDescent="0.4">
      <c r="Q38" t="s">
        <v>71</v>
      </c>
      <c r="R38" s="22"/>
      <c r="S38" s="23">
        <f>S5-S8</f>
        <v>354444.85714285681</v>
      </c>
      <c r="T38" s="23">
        <f>T5-T8</f>
        <v>90</v>
      </c>
      <c r="U38" s="24">
        <f>S38/T38</f>
        <v>3938.2761904761869</v>
      </c>
      <c r="AI38" t="s">
        <v>129</v>
      </c>
      <c r="AQ38" t="s">
        <v>82</v>
      </c>
      <c r="AR38" t="e">
        <f ca="1">AVERAGE(AR33:AR37)</f>
        <v>#NAME?</v>
      </c>
      <c r="AS38" t="e">
        <f ca="1">AVERAGE(AS33:AS37)</f>
        <v>#NAME?</v>
      </c>
      <c r="AT38" t="e">
        <f ca="1">AVERAGE(AT33:AT37)</f>
        <v>#NAME?</v>
      </c>
      <c r="AU38" t="e">
        <f ca="1">AVERAGE(AU33:AU37)</f>
        <v>#NAME?</v>
      </c>
      <c r="AV38" t="e">
        <f ca="1">AVERAGE(AV33:AV37)</f>
        <v>#NAME?</v>
      </c>
      <c r="AX38" t="s">
        <v>83</v>
      </c>
      <c r="AY38" s="25" t="e">
        <f ca="1">(AY32-1)*(AY35-2*AY32*AY36+AY32^2*AY34^2)</f>
        <v>#NAME?</v>
      </c>
    </row>
    <row r="39" spans="15:87" x14ac:dyDescent="0.35">
      <c r="AI39" s="18" t="s">
        <v>31</v>
      </c>
      <c r="AJ39" s="18" t="s">
        <v>25</v>
      </c>
      <c r="AK39" s="18" t="s">
        <v>26</v>
      </c>
      <c r="AL39" s="18" t="s">
        <v>27</v>
      </c>
      <c r="AM39" s="18" t="s">
        <v>32</v>
      </c>
      <c r="AN39" s="18" t="s">
        <v>33</v>
      </c>
      <c r="AO39" s="18" t="s">
        <v>43</v>
      </c>
      <c r="AQ39" t="s">
        <v>87</v>
      </c>
      <c r="AR39" t="e">
        <f ca="1">INDEX(AR33:AR37,AR32)</f>
        <v>#NAME?</v>
      </c>
      <c r="AS39" t="e">
        <f ca="1">INDEX(AS33:AS37,AS32)</f>
        <v>#NAME?</v>
      </c>
      <c r="AT39" t="e">
        <f ca="1">INDEX(AT33:AT37,AT32)</f>
        <v>#NAME?</v>
      </c>
      <c r="AU39" t="e">
        <f ca="1">INDEX(AU33:AU37,AU32)</f>
        <v>#NAME?</v>
      </c>
      <c r="AV39" t="e">
        <f ca="1">INDEX(AV33:AV37,AV32)</f>
        <v>#NAME?</v>
      </c>
      <c r="AX39" t="s">
        <v>51</v>
      </c>
      <c r="AY39" s="31" t="e">
        <f ca="1">AY37/AY38</f>
        <v>#NAME?</v>
      </c>
      <c r="BA39" t="s">
        <v>88</v>
      </c>
      <c r="BB39" s="27">
        <f>1/(BB33-1)</f>
        <v>0.25</v>
      </c>
      <c r="BU39" t="s">
        <v>4</v>
      </c>
      <c r="CC39" t="s">
        <v>40</v>
      </c>
    </row>
    <row r="40" spans="15:87" ht="15" thickBot="1" x14ac:dyDescent="0.4">
      <c r="Q40" t="s">
        <v>28</v>
      </c>
      <c r="AI40" t="s">
        <v>58</v>
      </c>
      <c r="AJ40">
        <f>AJ16</f>
        <v>412173.88571428566</v>
      </c>
      <c r="AK40" t="e">
        <f ca="1">AK16*AY54</f>
        <v>#NAME?</v>
      </c>
      <c r="AL40" t="e">
        <f ca="1">AJ40/AK40</f>
        <v>#NAME?</v>
      </c>
      <c r="AM40" t="e">
        <f ca="1">AL40/AL41</f>
        <v>#NAME?</v>
      </c>
      <c r="AN40" t="e">
        <f ca="1">F_DIST_RT(AM40,AK40,AK41)</f>
        <v>#NAME?</v>
      </c>
      <c r="AO40" t="e">
        <f ca="1">F_INV_RT(0.05,AK40,AK41)</f>
        <v>#NAME?</v>
      </c>
    </row>
    <row r="41" spans="15:87" ht="15" thickBot="1" x14ac:dyDescent="0.4">
      <c r="Q41" s="18" t="s">
        <v>31</v>
      </c>
      <c r="R41" s="18" t="s">
        <v>25</v>
      </c>
      <c r="S41" s="18" t="s">
        <v>26</v>
      </c>
      <c r="T41" s="18" t="s">
        <v>27</v>
      </c>
      <c r="U41" s="18" t="s">
        <v>32</v>
      </c>
      <c r="V41" s="18" t="s">
        <v>33</v>
      </c>
      <c r="AI41" s="23" t="s">
        <v>71</v>
      </c>
      <c r="AJ41" s="23">
        <f>AJ17</f>
        <v>78908.914285714331</v>
      </c>
      <c r="AK41" s="23" t="e">
        <f ca="1">AK17*AY54</f>
        <v>#NAME?</v>
      </c>
      <c r="AL41" s="23" t="e">
        <f ca="1">AJ41/AK41</f>
        <v>#NAME?</v>
      </c>
      <c r="AM41" s="23"/>
      <c r="AN41" s="23"/>
      <c r="AO41" s="23"/>
      <c r="AR41">
        <v>1</v>
      </c>
      <c r="AS41">
        <f>AR41+1</f>
        <v>2</v>
      </c>
      <c r="AT41">
        <f>AS41+1</f>
        <v>3</v>
      </c>
      <c r="AU41">
        <f>AT41+1</f>
        <v>4</v>
      </c>
      <c r="AV41">
        <f>AU41+1</f>
        <v>5</v>
      </c>
      <c r="AX41" t="s">
        <v>36</v>
      </c>
      <c r="AY41" s="20">
        <f>$K$5</f>
        <v>5</v>
      </c>
      <c r="BA41" t="s">
        <v>37</v>
      </c>
      <c r="BB41" s="20">
        <f>$L$5</f>
        <v>7</v>
      </c>
      <c r="BU41" s="5" t="s">
        <v>21</v>
      </c>
      <c r="BV41" s="5" t="s">
        <v>38</v>
      </c>
      <c r="BW41" s="5" t="s">
        <v>39</v>
      </c>
      <c r="BX41" s="26"/>
      <c r="BY41" s="5" t="s">
        <v>21</v>
      </c>
      <c r="BZ41" s="5" t="s">
        <v>38</v>
      </c>
      <c r="CA41" s="5" t="s">
        <v>39</v>
      </c>
      <c r="CC41" t="s">
        <v>53</v>
      </c>
    </row>
    <row r="42" spans="15:87" x14ac:dyDescent="0.35">
      <c r="Q42" s="17" t="s">
        <v>127</v>
      </c>
      <c r="R42">
        <f t="shared" ref="R42:S44" si="23">S36</f>
        <v>64383.523809523816</v>
      </c>
      <c r="S42">
        <f t="shared" si="23"/>
        <v>2</v>
      </c>
      <c r="T42">
        <f>R42/S42</f>
        <v>32191.761904761908</v>
      </c>
      <c r="U42">
        <f>T42/T44</f>
        <v>8.1740742263354367</v>
      </c>
      <c r="V42">
        <f>FDIST(U42,S42,S44)</f>
        <v>5.4709901625173965E-4</v>
      </c>
      <c r="AQ42" t="s">
        <v>65</v>
      </c>
      <c r="AR42" s="6" t="e">
        <f t="shared" ref="AR42:AV46" ca="1" si="24">(AR15+AR24+AR33)/$J$5</f>
        <v>#NAME?</v>
      </c>
      <c r="AS42" s="11" t="e">
        <f t="shared" ca="1" si="24"/>
        <v>#NAME?</v>
      </c>
      <c r="AT42" s="11" t="e">
        <f t="shared" ca="1" si="24"/>
        <v>#NAME?</v>
      </c>
      <c r="AU42" s="11" t="e">
        <f t="shared" ca="1" si="24"/>
        <v>#NAME?</v>
      </c>
      <c r="AV42" s="12" t="e">
        <f t="shared" ca="1" si="24"/>
        <v>#NAME?</v>
      </c>
      <c r="AX42" t="s">
        <v>44</v>
      </c>
      <c r="AY42" s="25" t="e">
        <f ca="1">AVERAGE(AR48:AV48)</f>
        <v>#NAME?</v>
      </c>
      <c r="BA42" t="s">
        <v>130</v>
      </c>
      <c r="BB42" s="25">
        <f>AY41</f>
        <v>5</v>
      </c>
      <c r="BU42" s="6">
        <f t="shared" ref="BU42:BU48" si="25">D4</f>
        <v>442</v>
      </c>
      <c r="BV42" s="11">
        <f t="shared" ref="BV42:BV48" si="26">D12</f>
        <v>425</v>
      </c>
      <c r="BW42" s="12">
        <f t="shared" ref="BW42:BW48" si="27">D18</f>
        <v>365</v>
      </c>
      <c r="BY42" s="6">
        <f>ABS(BU42-BU$49)</f>
        <v>59.142857142857167</v>
      </c>
      <c r="BZ42" s="11">
        <f t="shared" ref="BZ42:CA48" si="28">ABS(BV42-BV$49)</f>
        <v>99.285714285714278</v>
      </c>
      <c r="CA42" s="12">
        <f t="shared" si="28"/>
        <v>4.5714285714285552</v>
      </c>
      <c r="CC42" s="18" t="s">
        <v>62</v>
      </c>
      <c r="CD42" s="18" t="s">
        <v>63</v>
      </c>
      <c r="CE42" s="18" t="s">
        <v>64</v>
      </c>
      <c r="CF42" s="18" t="s">
        <v>65</v>
      </c>
      <c r="CG42" s="18" t="s">
        <v>66</v>
      </c>
    </row>
    <row r="43" spans="15:87" ht="15" thickBot="1" x14ac:dyDescent="0.4">
      <c r="Q43" s="17" t="s">
        <v>128</v>
      </c>
      <c r="R43">
        <f t="shared" si="23"/>
        <v>19678.952380952396</v>
      </c>
      <c r="S43">
        <f t="shared" si="23"/>
        <v>2</v>
      </c>
      <c r="T43">
        <f>R43/S43</f>
        <v>9839.4761904761981</v>
      </c>
      <c r="U43">
        <f>T43/T44</f>
        <v>2.4984220797593379</v>
      </c>
      <c r="V43">
        <f>FDIST(U43,S43,S44)</f>
        <v>8.7902233898368043E-2</v>
      </c>
      <c r="AI43" t="s">
        <v>131</v>
      </c>
      <c r="AR43" s="13" t="e">
        <f t="shared" ca="1" si="24"/>
        <v>#NAME?</v>
      </c>
      <c r="AS43" t="e">
        <f t="shared" ca="1" si="24"/>
        <v>#NAME?</v>
      </c>
      <c r="AT43" t="e">
        <f t="shared" ca="1" si="24"/>
        <v>#NAME?</v>
      </c>
      <c r="AU43" t="e">
        <f t="shared" ca="1" si="24"/>
        <v>#NAME?</v>
      </c>
      <c r="AV43" s="21" t="e">
        <f t="shared" ca="1" si="24"/>
        <v>#NAME?</v>
      </c>
      <c r="AX43" t="s">
        <v>50</v>
      </c>
      <c r="AY43" s="25" t="e">
        <f ca="1">AVERAGE(AR42:AV46)</f>
        <v>#NAME?</v>
      </c>
      <c r="BA43" t="s">
        <v>132</v>
      </c>
      <c r="BB43" s="25">
        <f>J5</f>
        <v>3</v>
      </c>
      <c r="BU43" s="13">
        <f t="shared" si="25"/>
        <v>341</v>
      </c>
      <c r="BV43">
        <f t="shared" si="26"/>
        <v>378</v>
      </c>
      <c r="BW43" s="21">
        <f t="shared" si="27"/>
        <v>382</v>
      </c>
      <c r="BY43" s="13">
        <f t="shared" ref="BY43:BY48" si="29">ABS(BU43-BU$49)</f>
        <v>41.857142857142833</v>
      </c>
      <c r="BZ43">
        <f t="shared" si="28"/>
        <v>52.285714285714278</v>
      </c>
      <c r="CA43" s="21">
        <f t="shared" si="28"/>
        <v>12.428571428571445</v>
      </c>
      <c r="CC43" t="s">
        <v>21</v>
      </c>
      <c r="CD43">
        <v>7</v>
      </c>
      <c r="CE43">
        <v>335.4285714285715</v>
      </c>
      <c r="CF43">
        <v>47.918367346938787</v>
      </c>
      <c r="CG43">
        <v>1562.2779397473269</v>
      </c>
    </row>
    <row r="44" spans="15:87" x14ac:dyDescent="0.35">
      <c r="Q44" s="23" t="s">
        <v>71</v>
      </c>
      <c r="R44" s="23">
        <f t="shared" si="23"/>
        <v>354444.85714285681</v>
      </c>
      <c r="S44" s="23">
        <f t="shared" si="23"/>
        <v>90</v>
      </c>
      <c r="T44" s="23">
        <f>R44/S44</f>
        <v>3938.2761904761869</v>
      </c>
      <c r="U44" s="23"/>
      <c r="V44" s="23"/>
      <c r="AI44" s="18" t="s">
        <v>31</v>
      </c>
      <c r="AJ44" s="18" t="s">
        <v>25</v>
      </c>
      <c r="AK44" s="18" t="s">
        <v>26</v>
      </c>
      <c r="AL44" s="18" t="s">
        <v>27</v>
      </c>
      <c r="AM44" s="18" t="s">
        <v>32</v>
      </c>
      <c r="AN44" s="18" t="s">
        <v>33</v>
      </c>
      <c r="AO44" s="18" t="s">
        <v>43</v>
      </c>
      <c r="AR44" s="13" t="e">
        <f t="shared" ca="1" si="24"/>
        <v>#NAME?</v>
      </c>
      <c r="AS44" t="e">
        <f t="shared" ca="1" si="24"/>
        <v>#NAME?</v>
      </c>
      <c r="AT44" t="e">
        <f t="shared" ca="1" si="24"/>
        <v>#NAME?</v>
      </c>
      <c r="AU44" t="e">
        <f t="shared" ca="1" si="24"/>
        <v>#NAME?</v>
      </c>
      <c r="AV44" s="21" t="e">
        <f t="shared" ca="1" si="24"/>
        <v>#NAME?</v>
      </c>
      <c r="AX44" t="s">
        <v>59</v>
      </c>
      <c r="AY44" s="25" t="e">
        <f ca="1">SUMSQ(AR42:AV46)</f>
        <v>#NAME?</v>
      </c>
      <c r="BA44" t="s">
        <v>51</v>
      </c>
      <c r="BB44" s="25" t="e">
        <f ca="1">AY48</f>
        <v>#NAME?</v>
      </c>
      <c r="BU44" s="13">
        <f t="shared" si="25"/>
        <v>384</v>
      </c>
      <c r="BV44">
        <f t="shared" si="26"/>
        <v>283</v>
      </c>
      <c r="BW44" s="21">
        <f t="shared" si="27"/>
        <v>289</v>
      </c>
      <c r="BY44" s="13">
        <f t="shared" si="29"/>
        <v>1.1428571428571672</v>
      </c>
      <c r="BZ44">
        <f t="shared" si="28"/>
        <v>42.714285714285722</v>
      </c>
      <c r="CA44" s="21">
        <f t="shared" si="28"/>
        <v>80.571428571428555</v>
      </c>
      <c r="CC44" t="s">
        <v>38</v>
      </c>
      <c r="CD44">
        <v>7</v>
      </c>
      <c r="CE44">
        <v>432.28571428571428</v>
      </c>
      <c r="CF44">
        <v>61.755102040816325</v>
      </c>
      <c r="CG44">
        <v>1528.930029154518</v>
      </c>
    </row>
    <row r="45" spans="15:87" ht="15" thickBot="1" x14ac:dyDescent="0.4">
      <c r="O45">
        <f>O46</f>
        <v>0</v>
      </c>
      <c r="AI45" t="s">
        <v>58</v>
      </c>
      <c r="AJ45">
        <f>AJ24</f>
        <v>431398.11428571434</v>
      </c>
      <c r="AK45" t="e">
        <f ca="1">AK23*AZ55</f>
        <v>#NAME?</v>
      </c>
      <c r="AL45" t="e">
        <f ca="1">AJ45/AK45</f>
        <v>#NAME?</v>
      </c>
      <c r="AM45" t="e">
        <f ca="1">AL45/AL46</f>
        <v>#NAME?</v>
      </c>
      <c r="AN45" t="e">
        <f ca="1">F_DIST_RT(AM45,AK45,AK46)</f>
        <v>#NAME?</v>
      </c>
      <c r="AO45" t="e">
        <f ca="1">F_INV_RT(0.05,AK45,AK46)</f>
        <v>#NAME?</v>
      </c>
      <c r="AR45" s="13" t="e">
        <f t="shared" ca="1" si="24"/>
        <v>#NAME?</v>
      </c>
      <c r="AS45" t="e">
        <f t="shared" ca="1" si="24"/>
        <v>#NAME?</v>
      </c>
      <c r="AT45" t="e">
        <f t="shared" ca="1" si="24"/>
        <v>#NAME?</v>
      </c>
      <c r="AU45" t="e">
        <f t="shared" ca="1" si="24"/>
        <v>#NAME?</v>
      </c>
      <c r="AV45" s="21" t="e">
        <f t="shared" ca="1" si="24"/>
        <v>#NAME?</v>
      </c>
      <c r="AX45" t="s">
        <v>72</v>
      </c>
      <c r="AY45" s="25" t="e">
        <f ca="1">SUMSQ(AR47:AV47)</f>
        <v>#NAME?</v>
      </c>
      <c r="BA45" t="s">
        <v>60</v>
      </c>
      <c r="BB45" s="25" t="e">
        <f ca="1">(BB43*BB41-BB43+1)*(BB42-1)*BB44-2</f>
        <v>#NAME?</v>
      </c>
      <c r="BU45" s="13">
        <f t="shared" si="25"/>
        <v>423</v>
      </c>
      <c r="BV45">
        <f t="shared" si="26"/>
        <v>351</v>
      </c>
      <c r="BW45" s="21">
        <f t="shared" si="27"/>
        <v>356</v>
      </c>
      <c r="BY45" s="13">
        <f t="shared" si="29"/>
        <v>40.142857142857167</v>
      </c>
      <c r="BZ45">
        <f t="shared" si="28"/>
        <v>25.285714285714278</v>
      </c>
      <c r="CA45" s="21">
        <f t="shared" si="28"/>
        <v>13.571428571428555</v>
      </c>
      <c r="CC45" s="32" t="s">
        <v>39</v>
      </c>
      <c r="CD45" s="32">
        <v>7</v>
      </c>
      <c r="CE45" s="32">
        <v>302.57142857142856</v>
      </c>
      <c r="CF45" s="32">
        <v>43.224489795918366</v>
      </c>
      <c r="CG45" s="32">
        <v>1370.8697764820211</v>
      </c>
    </row>
    <row r="46" spans="15:87" x14ac:dyDescent="0.35">
      <c r="Q46" t="s">
        <v>133</v>
      </c>
      <c r="AI46" s="23" t="s">
        <v>71</v>
      </c>
      <c r="AJ46" s="23">
        <f>AJ25</f>
        <v>42650.685714285704</v>
      </c>
      <c r="AK46" s="23" t="e">
        <f ca="1">AK24*AZ55</f>
        <v>#NAME?</v>
      </c>
      <c r="AL46" s="23" t="e">
        <f ca="1">AJ46/AK46</f>
        <v>#NAME?</v>
      </c>
      <c r="AM46" s="23"/>
      <c r="AN46" s="23"/>
      <c r="AO46" s="23"/>
      <c r="AR46" s="22" t="e">
        <f t="shared" ca="1" si="24"/>
        <v>#NAME?</v>
      </c>
      <c r="AS46" s="23" t="e">
        <f t="shared" ca="1" si="24"/>
        <v>#NAME?</v>
      </c>
      <c r="AT46" s="23" t="e">
        <f t="shared" ca="1" si="24"/>
        <v>#NAME?</v>
      </c>
      <c r="AU46" s="23" t="e">
        <f t="shared" ca="1" si="24"/>
        <v>#NAME?</v>
      </c>
      <c r="AV46" s="24" t="e">
        <f t="shared" ca="1" si="24"/>
        <v>#NAME?</v>
      </c>
      <c r="AX46" t="s">
        <v>77</v>
      </c>
      <c r="AY46" s="25" t="e">
        <f ca="1">(AY41*(AY42-AY43))^2</f>
        <v>#NAME?</v>
      </c>
      <c r="BA46" t="s">
        <v>73</v>
      </c>
      <c r="BB46" s="25" t="e">
        <f ca="1">(BB42-1)*(BB41*BB43-BB43-(BB42-1)*BB44)</f>
        <v>#NAME?</v>
      </c>
      <c r="BU46" s="13">
        <f t="shared" si="25"/>
        <v>257</v>
      </c>
      <c r="BV46">
        <f t="shared" si="26"/>
        <v>193</v>
      </c>
      <c r="BW46" s="21">
        <f t="shared" si="27"/>
        <v>407</v>
      </c>
      <c r="BY46" s="13">
        <f t="shared" si="29"/>
        <v>125.85714285714283</v>
      </c>
      <c r="BZ46">
        <f t="shared" si="28"/>
        <v>132.71428571428572</v>
      </c>
      <c r="CA46" s="21">
        <f t="shared" si="28"/>
        <v>37.428571428571445</v>
      </c>
    </row>
    <row r="47" spans="15:87" x14ac:dyDescent="0.35">
      <c r="AQ47" t="s">
        <v>82</v>
      </c>
      <c r="AR47" t="e">
        <f ca="1">AVERAGE(AR42:AR46)</f>
        <v>#NAME?</v>
      </c>
      <c r="AS47" t="e">
        <f ca="1">AVERAGE(AS42:AS46)</f>
        <v>#NAME?</v>
      </c>
      <c r="AT47" t="e">
        <f ca="1">AVERAGE(AT42:AT46)</f>
        <v>#NAME?</v>
      </c>
      <c r="AU47" t="e">
        <f ca="1">AVERAGE(AU42:AU46)</f>
        <v>#NAME?</v>
      </c>
      <c r="AV47" t="e">
        <f ca="1">AVERAGE(AV42:AV46)</f>
        <v>#NAME?</v>
      </c>
      <c r="AX47" t="s">
        <v>83</v>
      </c>
      <c r="AY47" s="25" t="e">
        <f ca="1">(AY41-1)*(AY44-2*AY41*AY45+AY41^2*AY43^2)</f>
        <v>#NAME?</v>
      </c>
      <c r="BA47" t="s">
        <v>78</v>
      </c>
      <c r="BB47" s="31" t="e">
        <f ca="1">MIN(BB45/BB46,1)</f>
        <v>#NAME?</v>
      </c>
      <c r="BU47" s="13">
        <f t="shared" si="25"/>
        <v>401</v>
      </c>
      <c r="BV47">
        <f t="shared" si="26"/>
        <v>285</v>
      </c>
      <c r="BW47" s="21">
        <f t="shared" si="27"/>
        <v>471</v>
      </c>
      <c r="BY47" s="13">
        <f t="shared" si="29"/>
        <v>18.142857142857167</v>
      </c>
      <c r="BZ47">
        <f t="shared" si="28"/>
        <v>40.714285714285722</v>
      </c>
      <c r="CA47" s="21">
        <f t="shared" si="28"/>
        <v>101.42857142857144</v>
      </c>
    </row>
    <row r="48" spans="15:87" ht="15" thickBot="1" x14ac:dyDescent="0.4">
      <c r="R48" s="5" t="s">
        <v>25</v>
      </c>
      <c r="S48" s="5" t="s">
        <v>26</v>
      </c>
      <c r="AQ48" t="s">
        <v>87</v>
      </c>
      <c r="AR48" t="e">
        <f ca="1">INDEX(AR42:AR46,AR41)</f>
        <v>#NAME?</v>
      </c>
      <c r="AS48" t="e">
        <f ca="1">INDEX(AS42:AS46,AS41)</f>
        <v>#NAME?</v>
      </c>
      <c r="AT48" t="e">
        <f ca="1">INDEX(AT42:AT46,AT41)</f>
        <v>#NAME?</v>
      </c>
      <c r="AU48" t="e">
        <f ca="1">INDEX(AU42:AU46,AU41)</f>
        <v>#NAME?</v>
      </c>
      <c r="AV48" t="e">
        <f ca="1">INDEX(AV42:AV46,AV41)</f>
        <v>#NAME?</v>
      </c>
      <c r="AX48" t="s">
        <v>51</v>
      </c>
      <c r="AY48" s="31" t="e">
        <f ca="1">AY46/AY47</f>
        <v>#NAME?</v>
      </c>
      <c r="BU48" s="22">
        <f t="shared" si="25"/>
        <v>432</v>
      </c>
      <c r="BV48" s="23">
        <f t="shared" si="26"/>
        <v>365</v>
      </c>
      <c r="BW48" s="24">
        <f t="shared" si="27"/>
        <v>317</v>
      </c>
      <c r="BY48" s="22">
        <f t="shared" si="29"/>
        <v>49.142857142857167</v>
      </c>
      <c r="BZ48" s="23">
        <f t="shared" si="28"/>
        <v>39.285714285714278</v>
      </c>
      <c r="CA48" s="24">
        <f t="shared" si="28"/>
        <v>52.571428571428555</v>
      </c>
      <c r="CC48" t="s">
        <v>28</v>
      </c>
    </row>
    <row r="49" spans="17:87" x14ac:dyDescent="0.35">
      <c r="R49" s="35">
        <f>S12+S13</f>
        <v>354444.85714285669</v>
      </c>
      <c r="S49" s="36">
        <f>T12+T13</f>
        <v>90</v>
      </c>
      <c r="BA49" t="s">
        <v>88</v>
      </c>
      <c r="BB49" s="27">
        <f>1/(BB42-1)</f>
        <v>0.25</v>
      </c>
      <c r="BT49" t="s">
        <v>82</v>
      </c>
      <c r="BU49">
        <f>AVERAGE(BU42:BU48)</f>
        <v>382.85714285714283</v>
      </c>
      <c r="BV49">
        <f>AVERAGE(BV42:BV48)</f>
        <v>325.71428571428572</v>
      </c>
      <c r="BW49">
        <f>AVERAGE(BW42:BW48)</f>
        <v>369.57142857142856</v>
      </c>
      <c r="CC49" s="18" t="s">
        <v>31</v>
      </c>
      <c r="CD49" s="18" t="s">
        <v>25</v>
      </c>
      <c r="CE49" s="18" t="s">
        <v>26</v>
      </c>
      <c r="CF49" s="18" t="s">
        <v>27</v>
      </c>
      <c r="CG49" s="18" t="s">
        <v>32</v>
      </c>
      <c r="CH49" s="18" t="s">
        <v>33</v>
      </c>
      <c r="CI49" s="18" t="s">
        <v>43</v>
      </c>
    </row>
    <row r="50" spans="17:87" x14ac:dyDescent="0.35">
      <c r="BT50" t="s">
        <v>87</v>
      </c>
      <c r="BU50">
        <f>VAR(BU42:BU49)</f>
        <v>3635.2653061224678</v>
      </c>
      <c r="BV50">
        <f>VAR(BV42:BV48)</f>
        <v>5978.2380952380872</v>
      </c>
      <c r="BW50">
        <f>VAR(BW42:BW48)</f>
        <v>3550.6190476190532</v>
      </c>
      <c r="CC50" t="s">
        <v>113</v>
      </c>
      <c r="CD50">
        <v>1299.3663751214772</v>
      </c>
      <c r="CE50">
        <v>2</v>
      </c>
      <c r="CF50">
        <v>649.68318756073859</v>
      </c>
      <c r="CG50">
        <v>0.43680313833584755</v>
      </c>
      <c r="CH50">
        <v>0.65276750542828776</v>
      </c>
      <c r="CI50">
        <v>3.5545571456617879</v>
      </c>
    </row>
    <row r="51" spans="17:87" x14ac:dyDescent="0.35">
      <c r="AQ51" t="s">
        <v>55</v>
      </c>
      <c r="AR51" s="6" t="e">
        <f t="array" aca="1" ref="AR51:AV55" ca="1">(AR15:AV19+AR24:AV28+AR33:AV37)*(CL7-1)/(CL8-CL5)</f>
        <v>#NAME?</v>
      </c>
      <c r="AS51" s="11" t="e">
        <f ca="1"/>
        <v>#NAME?</v>
      </c>
      <c r="AT51" s="11" t="e">
        <f ca="1"/>
        <v>#NAME?</v>
      </c>
      <c r="AU51" s="11" t="e">
        <f ca="1"/>
        <v>#NAME?</v>
      </c>
      <c r="AV51" s="12" t="e">
        <f ca="1"/>
        <v>#NAME?</v>
      </c>
      <c r="AX51" t="s">
        <v>12</v>
      </c>
      <c r="CC51" t="s">
        <v>117</v>
      </c>
      <c r="CD51">
        <v>26772.4664723032</v>
      </c>
      <c r="CE51">
        <v>18</v>
      </c>
      <c r="CF51">
        <v>1487.3592484612889</v>
      </c>
    </row>
    <row r="52" spans="17:87" x14ac:dyDescent="0.35">
      <c r="Q52" t="s">
        <v>134</v>
      </c>
      <c r="AR52" s="13" t="e">
        <f ca="1"/>
        <v>#NAME?</v>
      </c>
      <c r="AS52" t="e">
        <f ca="1"/>
        <v>#NAME?</v>
      </c>
      <c r="AT52" t="e">
        <f ca="1"/>
        <v>#NAME?</v>
      </c>
      <c r="AU52" t="e">
        <f ca="1"/>
        <v>#NAME?</v>
      </c>
      <c r="AV52" s="21" t="e">
        <f ca="1"/>
        <v>#NAME?</v>
      </c>
      <c r="AY52" s="4" t="s">
        <v>135</v>
      </c>
      <c r="AZ52" s="4" t="s">
        <v>136</v>
      </c>
    </row>
    <row r="53" spans="17:87" ht="15" thickBot="1" x14ac:dyDescent="0.4">
      <c r="AR53" s="13" t="e">
        <f ca="1"/>
        <v>#NAME?</v>
      </c>
      <c r="AS53" t="e">
        <f ca="1"/>
        <v>#NAME?</v>
      </c>
      <c r="AT53" t="e">
        <f ca="1"/>
        <v>#NAME?</v>
      </c>
      <c r="AU53" t="e">
        <f ca="1"/>
        <v>#NAME?</v>
      </c>
      <c r="AV53" s="21" t="e">
        <f ca="1"/>
        <v>#NAME?</v>
      </c>
      <c r="AX53" t="s">
        <v>21</v>
      </c>
      <c r="AY53" s="6" t="e">
        <f ca="1">AY21</f>
        <v>#NAME?</v>
      </c>
      <c r="AZ53" s="12" t="e">
        <f ca="1">BB19</f>
        <v>#NAME?</v>
      </c>
      <c r="CC53" s="32" t="s">
        <v>30</v>
      </c>
      <c r="CD53" s="32">
        <v>28071.832847424677</v>
      </c>
      <c r="CE53" s="32">
        <v>20</v>
      </c>
      <c r="CF53" s="32"/>
      <c r="CG53" s="32"/>
      <c r="CH53" s="32"/>
      <c r="CI53" s="32"/>
    </row>
    <row r="54" spans="17:87" ht="15" thickBot="1" x14ac:dyDescent="0.4">
      <c r="Q54" t="s">
        <v>28</v>
      </c>
      <c r="AR54" s="13" t="e">
        <f ca="1"/>
        <v>#NAME?</v>
      </c>
      <c r="AS54" t="e">
        <f ca="1"/>
        <v>#NAME?</v>
      </c>
      <c r="AT54" t="e">
        <f ca="1"/>
        <v>#NAME?</v>
      </c>
      <c r="AU54" t="e">
        <f ca="1"/>
        <v>#NAME?</v>
      </c>
      <c r="AV54" s="21" t="e">
        <f ca="1"/>
        <v>#NAME?</v>
      </c>
      <c r="AX54" t="s">
        <v>38</v>
      </c>
      <c r="AY54" s="13" t="e">
        <f ca="1">AY30</f>
        <v>#NAME?</v>
      </c>
      <c r="AZ54" s="21" t="e">
        <f ca="1">BB28</f>
        <v>#NAME?</v>
      </c>
    </row>
    <row r="55" spans="17:87" x14ac:dyDescent="0.35">
      <c r="Q55" s="18" t="s">
        <v>31</v>
      </c>
      <c r="R55" s="18" t="s">
        <v>25</v>
      </c>
      <c r="S55" s="18" t="s">
        <v>26</v>
      </c>
      <c r="T55" s="18" t="s">
        <v>27</v>
      </c>
      <c r="U55" s="18" t="s">
        <v>32</v>
      </c>
      <c r="V55" s="18" t="s">
        <v>33</v>
      </c>
      <c r="AR55" s="22" t="e">
        <f ca="1"/>
        <v>#NAME?</v>
      </c>
      <c r="AS55" s="23" t="e">
        <f ca="1"/>
        <v>#NAME?</v>
      </c>
      <c r="AT55" s="23" t="e">
        <f ca="1"/>
        <v>#NAME?</v>
      </c>
      <c r="AU55" s="23" t="e">
        <f ca="1"/>
        <v>#NAME?</v>
      </c>
      <c r="AV55" s="24" t="e">
        <f ca="1"/>
        <v>#NAME?</v>
      </c>
      <c r="AX55" t="s">
        <v>39</v>
      </c>
      <c r="AY55" s="22" t="e">
        <f ca="1">AY39</f>
        <v>#NAME?</v>
      </c>
      <c r="AZ55" s="24" t="e">
        <f ca="1">BB37</f>
        <v>#NAME?</v>
      </c>
    </row>
    <row r="56" spans="17:87" x14ac:dyDescent="0.35">
      <c r="Q56" s="17" t="s">
        <v>127</v>
      </c>
      <c r="R56">
        <f t="shared" ref="R56:T57" si="30">R42</f>
        <v>64383.523809523816</v>
      </c>
      <c r="S56">
        <f t="shared" si="30"/>
        <v>2</v>
      </c>
      <c r="T56">
        <f t="shared" si="30"/>
        <v>32191.761904761908</v>
      </c>
      <c r="U56">
        <f>T56/T58</f>
        <v>4.6807738020301644</v>
      </c>
      <c r="V56" t="e">
        <f ca="1">F_DIST_RT(U56,S56,S58)</f>
        <v>#NAME?</v>
      </c>
      <c r="BU56" t="s">
        <v>5</v>
      </c>
      <c r="CC56" t="s">
        <v>40</v>
      </c>
    </row>
    <row r="57" spans="17:87" x14ac:dyDescent="0.35">
      <c r="Q57" s="17" t="s">
        <v>128</v>
      </c>
      <c r="R57">
        <f t="shared" si="30"/>
        <v>19678.952380952396</v>
      </c>
      <c r="S57">
        <f t="shared" si="30"/>
        <v>2</v>
      </c>
      <c r="T57">
        <f t="shared" si="30"/>
        <v>9839.4761904761981</v>
      </c>
      <c r="U57">
        <f>T57/T58</f>
        <v>1.4306878422602816</v>
      </c>
      <c r="V57" t="e">
        <f ca="1">F_DIST_RT(U57,S57,S58)</f>
        <v>#NAME?</v>
      </c>
    </row>
    <row r="58" spans="17:87" ht="15" thickBot="1" x14ac:dyDescent="0.4">
      <c r="Q58" s="23" t="str">
        <f>Q44</f>
        <v>Error</v>
      </c>
      <c r="R58" s="23">
        <f>S12+S13</f>
        <v>354444.85714285669</v>
      </c>
      <c r="S58" s="23">
        <f>R58^2/(S12^2/T12+S13^2/T13)</f>
        <v>51.537291015226842</v>
      </c>
      <c r="T58" s="23">
        <f>R58/S58</f>
        <v>6877.4444709974168</v>
      </c>
      <c r="U58" s="23"/>
      <c r="V58" s="23"/>
      <c r="BU58" s="5" t="s">
        <v>21</v>
      </c>
      <c r="BV58" s="5" t="s">
        <v>38</v>
      </c>
      <c r="BW58" s="5" t="s">
        <v>39</v>
      </c>
      <c r="BX58" s="26"/>
      <c r="BY58" s="5" t="s">
        <v>21</v>
      </c>
      <c r="BZ58" s="5" t="s">
        <v>38</v>
      </c>
      <c r="CA58" s="5" t="s">
        <v>39</v>
      </c>
      <c r="CC58" t="s">
        <v>53</v>
      </c>
    </row>
    <row r="59" spans="17:87" x14ac:dyDescent="0.35">
      <c r="BU59" s="6">
        <f t="shared" ref="BU59:BU65" si="31">E4</f>
        <v>368</v>
      </c>
      <c r="BV59" s="11">
        <f t="shared" ref="BV59:BV65" si="32">E12</f>
        <v>398</v>
      </c>
      <c r="BW59" s="12">
        <f t="shared" ref="BW59:BW65" si="33">E18</f>
        <v>311</v>
      </c>
      <c r="BY59" s="6">
        <f>ABS(BU59-BU$66)</f>
        <v>5.4285714285714448</v>
      </c>
      <c r="BZ59" s="11">
        <f>ABS(BV59-BV$66)</f>
        <v>109.28571428571428</v>
      </c>
      <c r="CA59" s="12">
        <f>ABS(BW59-BW$66)</f>
        <v>63.285714285714278</v>
      </c>
      <c r="CC59" s="18" t="s">
        <v>62</v>
      </c>
      <c r="CD59" s="18" t="s">
        <v>63</v>
      </c>
      <c r="CE59" s="18" t="s">
        <v>64</v>
      </c>
      <c r="CF59" s="18" t="s">
        <v>65</v>
      </c>
      <c r="CG59" s="18" t="s">
        <v>66</v>
      </c>
    </row>
    <row r="60" spans="17:87" x14ac:dyDescent="0.35">
      <c r="BU60" s="13">
        <f t="shared" si="31"/>
        <v>382</v>
      </c>
      <c r="BV60">
        <f t="shared" si="32"/>
        <v>317</v>
      </c>
      <c r="BW60" s="21">
        <f t="shared" si="33"/>
        <v>369</v>
      </c>
      <c r="BY60" s="13">
        <f t="shared" ref="BY60:CA65" si="34">ABS(BU60-BU$66)</f>
        <v>19.428571428571445</v>
      </c>
      <c r="BZ60">
        <f t="shared" si="34"/>
        <v>28.285714285714278</v>
      </c>
      <c r="CA60" s="21">
        <f t="shared" si="34"/>
        <v>5.2857142857142776</v>
      </c>
      <c r="CC60" t="s">
        <v>21</v>
      </c>
      <c r="CD60">
        <v>7</v>
      </c>
      <c r="CE60">
        <v>318.28571428571433</v>
      </c>
      <c r="CF60">
        <v>45.469387755102048</v>
      </c>
      <c r="CG60">
        <v>906.24295432458678</v>
      </c>
    </row>
    <row r="61" spans="17:87" x14ac:dyDescent="0.35">
      <c r="BU61" s="13">
        <f t="shared" si="31"/>
        <v>421</v>
      </c>
      <c r="BV61">
        <f t="shared" si="32"/>
        <v>259</v>
      </c>
      <c r="BW61" s="21">
        <f t="shared" si="33"/>
        <v>385</v>
      </c>
      <c r="BY61" s="13">
        <f t="shared" si="34"/>
        <v>58.428571428571445</v>
      </c>
      <c r="BZ61">
        <f t="shared" si="34"/>
        <v>29.714285714285722</v>
      </c>
      <c r="CA61" s="21">
        <f t="shared" si="34"/>
        <v>10.714285714285722</v>
      </c>
      <c r="CC61" t="s">
        <v>38</v>
      </c>
      <c r="CD61">
        <v>7</v>
      </c>
      <c r="CE61">
        <v>319.71428571428572</v>
      </c>
      <c r="CF61">
        <v>45.673469387755105</v>
      </c>
      <c r="CG61">
        <v>1209.4946550048592</v>
      </c>
    </row>
    <row r="62" spans="17:87" ht="15" thickBot="1" x14ac:dyDescent="0.4">
      <c r="BU62" s="13">
        <f t="shared" si="31"/>
        <v>415</v>
      </c>
      <c r="BV62">
        <f t="shared" si="32"/>
        <v>280</v>
      </c>
      <c r="BW62" s="21">
        <f t="shared" si="33"/>
        <v>380</v>
      </c>
      <c r="BY62" s="13">
        <f t="shared" si="34"/>
        <v>52.428571428571445</v>
      </c>
      <c r="BZ62">
        <f t="shared" si="34"/>
        <v>8.7142857142857224</v>
      </c>
      <c r="CA62" s="21">
        <f t="shared" si="34"/>
        <v>5.7142857142857224</v>
      </c>
      <c r="CC62" s="32" t="s">
        <v>39</v>
      </c>
      <c r="CD62" s="32">
        <v>7</v>
      </c>
      <c r="CE62" s="32">
        <v>271.71428571428572</v>
      </c>
      <c r="CF62" s="32">
        <v>38.816326530612244</v>
      </c>
      <c r="CG62" s="32">
        <v>1125.0796890184645</v>
      </c>
    </row>
    <row r="63" spans="17:87" x14ac:dyDescent="0.35">
      <c r="BU63" s="13">
        <f t="shared" si="31"/>
        <v>275</v>
      </c>
      <c r="BV63">
        <f t="shared" si="32"/>
        <v>240</v>
      </c>
      <c r="BW63" s="21">
        <f t="shared" si="33"/>
        <v>461</v>
      </c>
      <c r="BY63" s="13">
        <f t="shared" si="34"/>
        <v>87.571428571428555</v>
      </c>
      <c r="BZ63">
        <f t="shared" si="34"/>
        <v>48.714285714285722</v>
      </c>
      <c r="CA63" s="21">
        <f t="shared" si="34"/>
        <v>86.714285714285722</v>
      </c>
    </row>
    <row r="64" spans="17:87" x14ac:dyDescent="0.35">
      <c r="BU64" s="13">
        <f t="shared" si="31"/>
        <v>291</v>
      </c>
      <c r="BV64">
        <f t="shared" si="32"/>
        <v>216</v>
      </c>
      <c r="BW64" s="21">
        <f t="shared" si="33"/>
        <v>407</v>
      </c>
      <c r="BY64" s="13">
        <f t="shared" si="34"/>
        <v>71.571428571428555</v>
      </c>
      <c r="BZ64">
        <f t="shared" si="34"/>
        <v>72.714285714285722</v>
      </c>
      <c r="CA64" s="21">
        <f t="shared" si="34"/>
        <v>32.714285714285722</v>
      </c>
    </row>
    <row r="65" spans="72:87" ht="15" thickBot="1" x14ac:dyDescent="0.4">
      <c r="BU65" s="22">
        <f t="shared" si="31"/>
        <v>386</v>
      </c>
      <c r="BV65" s="23">
        <f t="shared" si="32"/>
        <v>311</v>
      </c>
      <c r="BW65" s="24">
        <f t="shared" si="33"/>
        <v>307</v>
      </c>
      <c r="BY65" s="22">
        <f t="shared" si="34"/>
        <v>23.428571428571445</v>
      </c>
      <c r="BZ65" s="23">
        <f t="shared" si="34"/>
        <v>22.285714285714278</v>
      </c>
      <c r="CA65" s="24">
        <f t="shared" si="34"/>
        <v>67.285714285714278</v>
      </c>
      <c r="CC65" t="s">
        <v>28</v>
      </c>
    </row>
    <row r="66" spans="72:87" x14ac:dyDescent="0.35">
      <c r="BT66" t="s">
        <v>82</v>
      </c>
      <c r="BU66">
        <f>AVERAGE(BU59:BU65)</f>
        <v>362.57142857142856</v>
      </c>
      <c r="BV66">
        <f>AVERAGE(BV59:BV65)</f>
        <v>288.71428571428572</v>
      </c>
      <c r="BW66">
        <f>AVERAGE(BW59:BW65)</f>
        <v>374.28571428571428</v>
      </c>
      <c r="CC66" s="18" t="s">
        <v>31</v>
      </c>
      <c r="CD66" s="18" t="s">
        <v>25</v>
      </c>
      <c r="CE66" s="18" t="s">
        <v>26</v>
      </c>
      <c r="CF66" s="18" t="s">
        <v>27</v>
      </c>
      <c r="CG66" s="18" t="s">
        <v>32</v>
      </c>
      <c r="CH66" s="18" t="s">
        <v>33</v>
      </c>
      <c r="CI66" s="18" t="s">
        <v>43</v>
      </c>
    </row>
    <row r="67" spans="72:87" x14ac:dyDescent="0.35">
      <c r="BT67" t="s">
        <v>87</v>
      </c>
      <c r="BU67">
        <f>VAR(BU59:BU66)</f>
        <v>2844.2448979592218</v>
      </c>
      <c r="BV67">
        <f>VAR(BV59:BV65)</f>
        <v>3643.2380952380868</v>
      </c>
      <c r="BW67">
        <f>VAR(BW59:BW65)</f>
        <v>2882.9047619047537</v>
      </c>
      <c r="CC67" t="s">
        <v>113</v>
      </c>
      <c r="CD67">
        <v>213.09232264334059</v>
      </c>
      <c r="CE67">
        <v>2</v>
      </c>
      <c r="CF67">
        <v>106.5461613216703</v>
      </c>
      <c r="CG67">
        <v>9.8628973662895122E-2</v>
      </c>
      <c r="CH67">
        <v>0.90656507578072709</v>
      </c>
      <c r="CI67">
        <v>3.5545571456617879</v>
      </c>
    </row>
    <row r="68" spans="72:87" x14ac:dyDescent="0.35">
      <c r="CC68" t="s">
        <v>117</v>
      </c>
      <c r="CD68">
        <v>19444.903790087457</v>
      </c>
      <c r="CE68">
        <v>18</v>
      </c>
      <c r="CF68">
        <v>1080.2724327826365</v>
      </c>
    </row>
    <row r="70" spans="72:87" ht="15" thickBot="1" x14ac:dyDescent="0.4">
      <c r="CC70" s="32" t="s">
        <v>30</v>
      </c>
      <c r="CD70" s="32">
        <v>19657.996112730798</v>
      </c>
      <c r="CE70" s="32">
        <v>20</v>
      </c>
      <c r="CF70" s="32"/>
      <c r="CG70" s="32"/>
      <c r="CH70" s="32"/>
      <c r="CI70" s="32"/>
    </row>
    <row r="73" spans="72:87" x14ac:dyDescent="0.35">
      <c r="BU73" t="s">
        <v>6</v>
      </c>
      <c r="CC73" t="s">
        <v>40</v>
      </c>
    </row>
    <row r="75" spans="72:87" ht="15" thickBot="1" x14ac:dyDescent="0.4">
      <c r="BU75" s="5" t="s">
        <v>21</v>
      </c>
      <c r="BV75" s="5" t="s">
        <v>38</v>
      </c>
      <c r="BW75" s="5" t="s">
        <v>39</v>
      </c>
      <c r="BX75" s="26"/>
      <c r="BY75" s="5" t="s">
        <v>21</v>
      </c>
      <c r="BZ75" s="5" t="s">
        <v>38</v>
      </c>
      <c r="CA75" s="5" t="s">
        <v>39</v>
      </c>
      <c r="CC75" t="s">
        <v>53</v>
      </c>
    </row>
    <row r="76" spans="72:87" x14ac:dyDescent="0.35">
      <c r="BU76" s="6">
        <f t="shared" ref="BU76:BU82" si="35">F4</f>
        <v>456</v>
      </c>
      <c r="BV76" s="11">
        <f t="shared" ref="BV76:BV82" si="36">F12</f>
        <v>268</v>
      </c>
      <c r="BW76" s="12">
        <f t="shared" ref="BW76:BW82" si="37">F18</f>
        <v>331</v>
      </c>
      <c r="BY76" s="6">
        <f>ABS(BU76-BU$83)</f>
        <v>72.285714285714278</v>
      </c>
      <c r="BZ76" s="11">
        <f>ABS(BV76-BV$83)</f>
        <v>37.714285714285722</v>
      </c>
      <c r="CA76" s="12">
        <f>ABS(BW76-BW$83)</f>
        <v>27</v>
      </c>
      <c r="CC76" s="18" t="s">
        <v>62</v>
      </c>
      <c r="CD76" s="18" t="s">
        <v>63</v>
      </c>
      <c r="CE76" s="18" t="s">
        <v>64</v>
      </c>
      <c r="CF76" s="18" t="s">
        <v>65</v>
      </c>
      <c r="CG76" s="18" t="s">
        <v>66</v>
      </c>
    </row>
    <row r="77" spans="72:87" x14ac:dyDescent="0.35">
      <c r="BU77" s="13">
        <f t="shared" si="35"/>
        <v>298</v>
      </c>
      <c r="BV77">
        <f t="shared" si="36"/>
        <v>470</v>
      </c>
      <c r="BW77" s="21">
        <f t="shared" si="37"/>
        <v>295</v>
      </c>
      <c r="BY77" s="13">
        <f t="shared" ref="BY77:CA82" si="38">ABS(BU77-BU$83)</f>
        <v>85.714285714285722</v>
      </c>
      <c r="BZ77">
        <f t="shared" si="38"/>
        <v>164.28571428571428</v>
      </c>
      <c r="CA77" s="21">
        <f t="shared" si="38"/>
        <v>63</v>
      </c>
      <c r="CC77" t="s">
        <v>21</v>
      </c>
      <c r="CD77">
        <v>7</v>
      </c>
      <c r="CE77">
        <v>391.71428571428572</v>
      </c>
      <c r="CF77">
        <v>55.95918367346939</v>
      </c>
      <c r="CG77">
        <v>665.56948493683194</v>
      </c>
    </row>
    <row r="78" spans="72:87" x14ac:dyDescent="0.35">
      <c r="BU78" s="13">
        <f t="shared" si="35"/>
        <v>342</v>
      </c>
      <c r="BV78">
        <f t="shared" si="36"/>
        <v>273</v>
      </c>
      <c r="BW78" s="21">
        <f t="shared" si="37"/>
        <v>373</v>
      </c>
      <c r="BY78" s="13">
        <f t="shared" si="38"/>
        <v>41.714285714285722</v>
      </c>
      <c r="BZ78">
        <f t="shared" si="38"/>
        <v>32.714285714285722</v>
      </c>
      <c r="CA78" s="21">
        <f t="shared" si="38"/>
        <v>15</v>
      </c>
      <c r="CC78" t="s">
        <v>38</v>
      </c>
      <c r="CD78">
        <v>7</v>
      </c>
      <c r="CE78">
        <v>407.71428571428572</v>
      </c>
      <c r="CF78">
        <v>58.244897959183675</v>
      </c>
      <c r="CG78">
        <v>2592.0252672497572</v>
      </c>
    </row>
    <row r="79" spans="72:87" ht="15" thickBot="1" x14ac:dyDescent="0.4">
      <c r="BU79" s="13">
        <f t="shared" si="35"/>
        <v>468</v>
      </c>
      <c r="BV79">
        <f t="shared" si="36"/>
        <v>320</v>
      </c>
      <c r="BW79" s="21">
        <f t="shared" si="37"/>
        <v>305</v>
      </c>
      <c r="BY79" s="13">
        <f t="shared" si="38"/>
        <v>84.285714285714278</v>
      </c>
      <c r="BZ79">
        <f t="shared" si="38"/>
        <v>14.285714285714278</v>
      </c>
      <c r="CA79" s="21">
        <f t="shared" si="38"/>
        <v>53</v>
      </c>
      <c r="CC79" s="32" t="s">
        <v>39</v>
      </c>
      <c r="CD79" s="32">
        <v>7</v>
      </c>
      <c r="CE79" s="32">
        <v>354</v>
      </c>
      <c r="CF79" s="32">
        <v>50.571428571428569</v>
      </c>
      <c r="CG79" s="32">
        <v>696.61904761904771</v>
      </c>
    </row>
    <row r="80" spans="72:87" x14ac:dyDescent="0.35">
      <c r="BU80" s="13">
        <f t="shared" si="35"/>
        <v>332</v>
      </c>
      <c r="BV80">
        <f t="shared" si="36"/>
        <v>233</v>
      </c>
      <c r="BW80" s="21">
        <f t="shared" si="37"/>
        <v>445</v>
      </c>
      <c r="BY80" s="13">
        <f t="shared" si="38"/>
        <v>51.714285714285722</v>
      </c>
      <c r="BZ80">
        <f t="shared" si="38"/>
        <v>72.714285714285722</v>
      </c>
      <c r="CA80" s="21">
        <f t="shared" si="38"/>
        <v>87</v>
      </c>
    </row>
    <row r="81" spans="72:87" x14ac:dyDescent="0.35">
      <c r="BU81" s="13">
        <f t="shared" si="35"/>
        <v>367</v>
      </c>
      <c r="BV81">
        <f t="shared" si="36"/>
        <v>245</v>
      </c>
      <c r="BW81" s="21">
        <f t="shared" si="37"/>
        <v>433</v>
      </c>
      <c r="BY81" s="13">
        <f t="shared" si="38"/>
        <v>16.714285714285722</v>
      </c>
      <c r="BZ81">
        <f t="shared" si="38"/>
        <v>60.714285714285722</v>
      </c>
      <c r="CA81" s="21">
        <f t="shared" si="38"/>
        <v>75</v>
      </c>
    </row>
    <row r="82" spans="72:87" ht="15" thickBot="1" x14ac:dyDescent="0.4">
      <c r="BU82" s="22">
        <f t="shared" si="35"/>
        <v>423</v>
      </c>
      <c r="BV82" s="23">
        <f t="shared" si="36"/>
        <v>331</v>
      </c>
      <c r="BW82" s="24">
        <f t="shared" si="37"/>
        <v>324</v>
      </c>
      <c r="BY82" s="22">
        <f t="shared" si="38"/>
        <v>39.285714285714278</v>
      </c>
      <c r="BZ82" s="23">
        <f t="shared" si="38"/>
        <v>25.285714285714278</v>
      </c>
      <c r="CA82" s="24">
        <f t="shared" si="38"/>
        <v>34</v>
      </c>
      <c r="CC82" t="s">
        <v>28</v>
      </c>
    </row>
    <row r="83" spans="72:87" x14ac:dyDescent="0.35">
      <c r="BT83" t="s">
        <v>82</v>
      </c>
      <c r="BU83">
        <f>AVERAGE(BU76:BU82)</f>
        <v>383.71428571428572</v>
      </c>
      <c r="BV83">
        <f>AVERAGE(BV76:BV82)</f>
        <v>305.71428571428572</v>
      </c>
      <c r="BW83">
        <f>AVERAGE(BW76:BW82)</f>
        <v>358</v>
      </c>
      <c r="CC83" s="18" t="s">
        <v>31</v>
      </c>
      <c r="CD83" s="18" t="s">
        <v>25</v>
      </c>
      <c r="CE83" s="18" t="s">
        <v>26</v>
      </c>
      <c r="CF83" s="18" t="s">
        <v>27</v>
      </c>
      <c r="CG83" s="18" t="s">
        <v>32</v>
      </c>
      <c r="CH83" s="18" t="s">
        <v>33</v>
      </c>
      <c r="CI83" s="18" t="s">
        <v>43</v>
      </c>
    </row>
    <row r="84" spans="72:87" x14ac:dyDescent="0.35">
      <c r="BT84" t="s">
        <v>87</v>
      </c>
      <c r="BU84">
        <f>VAR(BU76:BU83)</f>
        <v>3701.9183673469483</v>
      </c>
      <c r="BV84">
        <f>VAR(BV76:BV82)</f>
        <v>6549.9047619047533</v>
      </c>
      <c r="BW84">
        <f>VAR(BW76:BW82)</f>
        <v>3680.3333333333335</v>
      </c>
      <c r="CC84" t="s">
        <v>113</v>
      </c>
      <c r="CD84">
        <v>217.3138969873653</v>
      </c>
      <c r="CE84">
        <v>2</v>
      </c>
      <c r="CF84">
        <v>108.65694849368265</v>
      </c>
      <c r="CG84">
        <v>8.243632286576677E-2</v>
      </c>
      <c r="CH84">
        <v>0.92121569737530185</v>
      </c>
      <c r="CI84">
        <v>3.5545571456617879</v>
      </c>
    </row>
    <row r="85" spans="72:87" x14ac:dyDescent="0.35">
      <c r="CC85" t="s">
        <v>117</v>
      </c>
      <c r="CD85">
        <v>23725.282798833821</v>
      </c>
      <c r="CE85">
        <v>18</v>
      </c>
      <c r="CF85">
        <v>1318.071266601879</v>
      </c>
    </row>
    <row r="87" spans="72:87" ht="15" thickBot="1" x14ac:dyDescent="0.4">
      <c r="CC87" s="32" t="s">
        <v>30</v>
      </c>
      <c r="CD87" s="32">
        <v>23942.596695821187</v>
      </c>
      <c r="CE87" s="32">
        <v>20</v>
      </c>
      <c r="CF87" s="32"/>
      <c r="CG87" s="32"/>
      <c r="CH87" s="32"/>
      <c r="CI87" s="32"/>
    </row>
    <row r="90" spans="72:87" x14ac:dyDescent="0.35">
      <c r="BU90" t="s">
        <v>137</v>
      </c>
      <c r="CC90" t="s">
        <v>40</v>
      </c>
    </row>
    <row r="92" spans="72:87" ht="15" thickBot="1" x14ac:dyDescent="0.4">
      <c r="BU92" s="5" t="s">
        <v>21</v>
      </c>
      <c r="BV92" s="5" t="s">
        <v>38</v>
      </c>
      <c r="BW92" s="5" t="s">
        <v>39</v>
      </c>
      <c r="BX92" s="26"/>
      <c r="BY92" s="5" t="s">
        <v>21</v>
      </c>
      <c r="BZ92" s="5" t="s">
        <v>38</v>
      </c>
      <c r="CA92" s="5" t="s">
        <v>39</v>
      </c>
      <c r="CC92" t="s">
        <v>53</v>
      </c>
    </row>
    <row r="93" spans="72:87" x14ac:dyDescent="0.35">
      <c r="BU93" s="6">
        <f t="shared" ref="BU93:BW99" si="39">BD6</f>
        <v>358.8</v>
      </c>
      <c r="BV93" s="11">
        <f t="shared" si="39"/>
        <v>230.8</v>
      </c>
      <c r="BW93" s="12">
        <f t="shared" si="39"/>
        <v>249.8</v>
      </c>
      <c r="BY93" s="6">
        <f>ABS(BU93-BU$100)</f>
        <v>44.028571428571411</v>
      </c>
      <c r="BZ93" s="11">
        <f>ABS(BV93-BV$100)</f>
        <v>14.314285714285745</v>
      </c>
      <c r="CA93" s="12">
        <f>ABS(BW93-BW$100)</f>
        <v>35.799999999999955</v>
      </c>
      <c r="CC93" s="18" t="s">
        <v>62</v>
      </c>
      <c r="CD93" s="18" t="s">
        <v>63</v>
      </c>
      <c r="CE93" s="18" t="s">
        <v>64</v>
      </c>
      <c r="CF93" s="18" t="s">
        <v>65</v>
      </c>
      <c r="CG93" s="18" t="s">
        <v>66</v>
      </c>
    </row>
    <row r="94" spans="72:87" x14ac:dyDescent="0.35">
      <c r="BU94" s="13">
        <f t="shared" si="39"/>
        <v>258.60000000000002</v>
      </c>
      <c r="BV94">
        <f t="shared" si="39"/>
        <v>245.4</v>
      </c>
      <c r="BW94" s="21">
        <f t="shared" si="39"/>
        <v>279</v>
      </c>
      <c r="BY94" s="13">
        <f t="shared" ref="BY94:CA99" si="40">ABS(BU94-BU$100)</f>
        <v>56.171428571428578</v>
      </c>
      <c r="BZ94">
        <f t="shared" si="40"/>
        <v>28.914285714285739</v>
      </c>
      <c r="CA94" s="21">
        <f t="shared" si="40"/>
        <v>6.5999999999999659</v>
      </c>
      <c r="CC94" t="s">
        <v>21</v>
      </c>
      <c r="CD94">
        <v>7</v>
      </c>
      <c r="CE94">
        <v>318.22857142857134</v>
      </c>
      <c r="CF94">
        <v>45.461224489795903</v>
      </c>
      <c r="CG94">
        <v>424.56229348882454</v>
      </c>
    </row>
    <row r="95" spans="72:87" x14ac:dyDescent="0.35">
      <c r="BU95" s="13">
        <f t="shared" si="39"/>
        <v>331.8</v>
      </c>
      <c r="BV95">
        <f t="shared" si="39"/>
        <v>274.8</v>
      </c>
      <c r="BW95" s="21">
        <f t="shared" si="39"/>
        <v>258.39999999999998</v>
      </c>
      <c r="BY95" s="13">
        <f t="shared" si="40"/>
        <v>17.028571428571411</v>
      </c>
      <c r="BZ95">
        <f t="shared" si="40"/>
        <v>58.314285714285745</v>
      </c>
      <c r="CA95" s="21">
        <f t="shared" si="40"/>
        <v>27.199999999999989</v>
      </c>
      <c r="CC95" t="s">
        <v>38</v>
      </c>
      <c r="CD95">
        <v>7</v>
      </c>
      <c r="CE95">
        <v>238.9142857142858</v>
      </c>
      <c r="CF95">
        <v>34.130612244897968</v>
      </c>
      <c r="CG95">
        <v>582.08295432458692</v>
      </c>
    </row>
    <row r="96" spans="72:87" ht="15" thickBot="1" x14ac:dyDescent="0.4">
      <c r="BU96" s="13">
        <f t="shared" si="39"/>
        <v>372.2</v>
      </c>
      <c r="BV96">
        <f t="shared" si="39"/>
        <v>234.4</v>
      </c>
      <c r="BW96" s="21">
        <f t="shared" si="39"/>
        <v>264.60000000000002</v>
      </c>
      <c r="BY96" s="13">
        <f t="shared" si="40"/>
        <v>57.428571428571388</v>
      </c>
      <c r="BZ96">
        <f t="shared" si="40"/>
        <v>17.914285714285739</v>
      </c>
      <c r="CA96" s="21">
        <f t="shared" si="40"/>
        <v>20.999999999999943</v>
      </c>
      <c r="CC96" s="32" t="s">
        <v>39</v>
      </c>
      <c r="CD96" s="32">
        <v>7</v>
      </c>
      <c r="CE96" s="32">
        <v>231.19999999999982</v>
      </c>
      <c r="CF96" s="32">
        <v>33.028571428571404</v>
      </c>
      <c r="CG96" s="32">
        <v>396.08571428571531</v>
      </c>
    </row>
    <row r="97" spans="72:87" x14ac:dyDescent="0.35">
      <c r="BU97" s="13">
        <f t="shared" si="39"/>
        <v>237</v>
      </c>
      <c r="BV97">
        <f t="shared" si="39"/>
        <v>214.2</v>
      </c>
      <c r="BW97" s="21">
        <f t="shared" si="39"/>
        <v>353.4</v>
      </c>
      <c r="BY97" s="13">
        <f t="shared" si="40"/>
        <v>77.771428571428601</v>
      </c>
      <c r="BZ97">
        <f t="shared" si="40"/>
        <v>2.2857142857142776</v>
      </c>
      <c r="CA97" s="21">
        <f t="shared" si="40"/>
        <v>67.800000000000011</v>
      </c>
    </row>
    <row r="98" spans="72:87" x14ac:dyDescent="0.35">
      <c r="BU98" s="13">
        <f t="shared" si="39"/>
        <v>289.60000000000002</v>
      </c>
      <c r="BV98">
        <f t="shared" si="39"/>
        <v>155.19999999999999</v>
      </c>
      <c r="BW98" s="21">
        <f t="shared" si="39"/>
        <v>333.4</v>
      </c>
      <c r="BY98" s="13">
        <f t="shared" si="40"/>
        <v>25.171428571428578</v>
      </c>
      <c r="BZ98">
        <f t="shared" si="40"/>
        <v>61.285714285714278</v>
      </c>
      <c r="CA98" s="21">
        <f t="shared" si="40"/>
        <v>47.800000000000011</v>
      </c>
    </row>
    <row r="99" spans="72:87" ht="15" thickBot="1" x14ac:dyDescent="0.4">
      <c r="BU99" s="22">
        <f t="shared" si="39"/>
        <v>355.4</v>
      </c>
      <c r="BV99" s="23">
        <f t="shared" si="39"/>
        <v>160.6</v>
      </c>
      <c r="BW99" s="24">
        <f t="shared" si="39"/>
        <v>260.60000000000002</v>
      </c>
      <c r="BY99" s="22">
        <f t="shared" si="40"/>
        <v>40.628571428571377</v>
      </c>
      <c r="BZ99" s="23">
        <f t="shared" si="40"/>
        <v>55.885714285714272</v>
      </c>
      <c r="CA99" s="24">
        <f t="shared" si="40"/>
        <v>24.999999999999943</v>
      </c>
      <c r="CC99" t="s">
        <v>28</v>
      </c>
    </row>
    <row r="100" spans="72:87" x14ac:dyDescent="0.35">
      <c r="BT100" t="s">
        <v>82</v>
      </c>
      <c r="BU100">
        <f>AVERAGE(BU93:BU99)</f>
        <v>314.7714285714286</v>
      </c>
      <c r="BV100">
        <f>AVERAGE(BV93:BV99)</f>
        <v>216.48571428571427</v>
      </c>
      <c r="BW100">
        <f>AVERAGE(BW93:BW99)</f>
        <v>285.59999999999997</v>
      </c>
      <c r="CC100" s="18" t="s">
        <v>31</v>
      </c>
      <c r="CD100" s="18" t="s">
        <v>25</v>
      </c>
      <c r="CE100" s="18" t="s">
        <v>26</v>
      </c>
      <c r="CF100" s="18" t="s">
        <v>27</v>
      </c>
      <c r="CG100" s="18" t="s">
        <v>32</v>
      </c>
      <c r="CH100" s="18" t="s">
        <v>33</v>
      </c>
      <c r="CI100" s="18" t="s">
        <v>43</v>
      </c>
    </row>
    <row r="101" spans="72:87" x14ac:dyDescent="0.35">
      <c r="BT101" t="s">
        <v>87</v>
      </c>
      <c r="BU101">
        <f>VAR(BU93:BU100)</f>
        <v>2430.6334693877393</v>
      </c>
      <c r="BV101">
        <f>VAR(BV93:BV99)</f>
        <v>1941.1314285714373</v>
      </c>
      <c r="BW101">
        <f>VAR(BW93:BW99)</f>
        <v>1668.7866666666814</v>
      </c>
      <c r="CC101" t="s">
        <v>113</v>
      </c>
      <c r="CD101">
        <v>663.05896987366395</v>
      </c>
      <c r="CE101">
        <v>2</v>
      </c>
      <c r="CF101">
        <v>331.52948493683198</v>
      </c>
      <c r="CG101">
        <v>0.70903721503526029</v>
      </c>
      <c r="CH101">
        <v>0.50535561227403336</v>
      </c>
      <c r="CI101">
        <v>3.5545571456617879</v>
      </c>
    </row>
    <row r="102" spans="72:87" x14ac:dyDescent="0.35">
      <c r="CC102" t="s">
        <v>117</v>
      </c>
      <c r="CD102">
        <v>8416.3857725947582</v>
      </c>
      <c r="CE102">
        <v>18</v>
      </c>
      <c r="CF102">
        <v>467.57698736637548</v>
      </c>
    </row>
    <row r="104" spans="72:87" ht="15" thickBot="1" x14ac:dyDescent="0.4">
      <c r="CC104" s="32" t="s">
        <v>30</v>
      </c>
      <c r="CD104" s="32">
        <v>9079.4447424684222</v>
      </c>
      <c r="CE104" s="32">
        <v>20</v>
      </c>
      <c r="CF104" s="32"/>
      <c r="CG104" s="32"/>
      <c r="CH104" s="32"/>
      <c r="CI104" s="3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678F-AB2E-49FC-9812-D244BBB2C7E8}">
  <dimension ref="A1:W25"/>
  <sheetViews>
    <sheetView workbookViewId="0"/>
  </sheetViews>
  <sheetFormatPr defaultRowHeight="14.5" x14ac:dyDescent="0.35"/>
  <cols>
    <col min="1" max="1" width="18.1796875" customWidth="1"/>
    <col min="9" max="9" width="17.54296875" customWidth="1"/>
    <col min="17" max="17" width="18.26953125" customWidth="1"/>
    <col min="18" max="23" width="9.453125" customWidth="1"/>
  </cols>
  <sheetData>
    <row r="1" spans="1:21" x14ac:dyDescent="0.35">
      <c r="A1" t="s">
        <v>138</v>
      </c>
      <c r="I1" t="s">
        <v>139</v>
      </c>
      <c r="Q1" t="s">
        <v>140</v>
      </c>
    </row>
    <row r="2" spans="1:21" ht="15" thickBot="1" x14ac:dyDescent="0.4"/>
    <row r="3" spans="1:21" x14ac:dyDescent="0.35">
      <c r="A3" s="18" t="s">
        <v>53</v>
      </c>
      <c r="B3" s="18" t="s">
        <v>63</v>
      </c>
      <c r="C3" s="18" t="s">
        <v>64</v>
      </c>
      <c r="D3" s="18" t="s">
        <v>65</v>
      </c>
      <c r="E3" s="18" t="s">
        <v>66</v>
      </c>
      <c r="I3" s="18" t="s">
        <v>53</v>
      </c>
      <c r="J3" s="18" t="s">
        <v>63</v>
      </c>
      <c r="K3" s="18" t="s">
        <v>64</v>
      </c>
      <c r="L3" s="18" t="s">
        <v>65</v>
      </c>
      <c r="M3" s="18" t="s">
        <v>66</v>
      </c>
      <c r="Q3" s="18" t="s">
        <v>53</v>
      </c>
      <c r="R3" s="18" t="s">
        <v>63</v>
      </c>
      <c r="S3" s="18" t="s">
        <v>64</v>
      </c>
      <c r="T3" s="18" t="s">
        <v>65</v>
      </c>
      <c r="U3" s="18" t="s">
        <v>66</v>
      </c>
    </row>
    <row r="4" spans="1:21" x14ac:dyDescent="0.35">
      <c r="A4" t="s">
        <v>141</v>
      </c>
      <c r="B4">
        <v>5</v>
      </c>
      <c r="C4">
        <v>1794</v>
      </c>
      <c r="D4">
        <v>358.8</v>
      </c>
      <c r="E4">
        <v>8705.2000000000116</v>
      </c>
      <c r="I4" t="s">
        <v>141</v>
      </c>
      <c r="J4">
        <v>5</v>
      </c>
      <c r="K4">
        <v>1154</v>
      </c>
      <c r="L4">
        <v>230.8</v>
      </c>
      <c r="M4">
        <v>14531.699999999997</v>
      </c>
      <c r="Q4" t="s">
        <v>141</v>
      </c>
      <c r="R4">
        <v>5</v>
      </c>
      <c r="S4">
        <v>1249</v>
      </c>
      <c r="T4">
        <v>249.8</v>
      </c>
      <c r="U4">
        <v>14201.699999999997</v>
      </c>
    </row>
    <row r="5" spans="1:21" x14ac:dyDescent="0.35">
      <c r="A5" t="s">
        <v>142</v>
      </c>
      <c r="B5">
        <v>5</v>
      </c>
      <c r="C5">
        <v>1293</v>
      </c>
      <c r="D5">
        <v>258.60000000000002</v>
      </c>
      <c r="E5">
        <v>15928.300000000003</v>
      </c>
      <c r="I5" t="s">
        <v>142</v>
      </c>
      <c r="J5">
        <v>5</v>
      </c>
      <c r="K5">
        <v>1227</v>
      </c>
      <c r="L5">
        <v>245.4</v>
      </c>
      <c r="M5">
        <v>30900.800000000003</v>
      </c>
      <c r="Q5" t="s">
        <v>142</v>
      </c>
      <c r="R5">
        <v>5</v>
      </c>
      <c r="S5">
        <v>1395</v>
      </c>
      <c r="T5">
        <v>279</v>
      </c>
      <c r="U5">
        <v>14387.5</v>
      </c>
    </row>
    <row r="6" spans="1:21" x14ac:dyDescent="0.35">
      <c r="A6" t="s">
        <v>143</v>
      </c>
      <c r="B6">
        <v>5</v>
      </c>
      <c r="C6">
        <v>1659</v>
      </c>
      <c r="D6">
        <v>331.8</v>
      </c>
      <c r="E6">
        <v>5581.7000000000116</v>
      </c>
      <c r="I6" t="s">
        <v>143</v>
      </c>
      <c r="J6">
        <v>5</v>
      </c>
      <c r="K6">
        <v>1374</v>
      </c>
      <c r="L6">
        <v>274.8</v>
      </c>
      <c r="M6">
        <v>29150.699999999997</v>
      </c>
      <c r="Q6" t="s">
        <v>143</v>
      </c>
      <c r="R6">
        <v>5</v>
      </c>
      <c r="S6">
        <v>1292</v>
      </c>
      <c r="T6">
        <v>258.39999999999998</v>
      </c>
      <c r="U6">
        <v>20328.800000000003</v>
      </c>
    </row>
    <row r="7" spans="1:21" x14ac:dyDescent="0.35">
      <c r="A7" t="s">
        <v>144</v>
      </c>
      <c r="B7">
        <v>5</v>
      </c>
      <c r="C7">
        <v>1861</v>
      </c>
      <c r="D7">
        <v>372.2</v>
      </c>
      <c r="E7">
        <v>8547.7000000000116</v>
      </c>
      <c r="I7" t="s">
        <v>144</v>
      </c>
      <c r="J7">
        <v>5</v>
      </c>
      <c r="K7">
        <v>1172</v>
      </c>
      <c r="L7">
        <v>234.4</v>
      </c>
      <c r="M7">
        <v>2907.8000000000029</v>
      </c>
      <c r="Q7" t="s">
        <v>144</v>
      </c>
      <c r="R7">
        <v>5</v>
      </c>
      <c r="S7">
        <v>1323</v>
      </c>
      <c r="T7">
        <v>264.60000000000002</v>
      </c>
      <c r="U7">
        <v>15914.300000000003</v>
      </c>
    </row>
    <row r="8" spans="1:21" x14ac:dyDescent="0.35">
      <c r="A8" t="s">
        <v>145</v>
      </c>
      <c r="B8">
        <v>5</v>
      </c>
      <c r="C8">
        <v>1185</v>
      </c>
      <c r="D8">
        <v>237</v>
      </c>
      <c r="E8">
        <v>5664.5</v>
      </c>
      <c r="I8" t="s">
        <v>145</v>
      </c>
      <c r="J8">
        <v>5</v>
      </c>
      <c r="K8">
        <v>1071</v>
      </c>
      <c r="L8">
        <v>214.2</v>
      </c>
      <c r="M8">
        <v>20786.199999999997</v>
      </c>
      <c r="Q8" t="s">
        <v>145</v>
      </c>
      <c r="R8">
        <v>5</v>
      </c>
      <c r="S8">
        <v>1767</v>
      </c>
      <c r="T8">
        <v>353.4</v>
      </c>
      <c r="U8">
        <v>19106.799999999988</v>
      </c>
    </row>
    <row r="9" spans="1:21" x14ac:dyDescent="0.35">
      <c r="A9" t="s">
        <v>146</v>
      </c>
      <c r="B9">
        <v>5</v>
      </c>
      <c r="C9">
        <v>1448</v>
      </c>
      <c r="D9">
        <v>289.60000000000002</v>
      </c>
      <c r="E9">
        <v>13308.800000000003</v>
      </c>
      <c r="I9" t="s">
        <v>146</v>
      </c>
      <c r="J9">
        <v>5</v>
      </c>
      <c r="K9">
        <v>776</v>
      </c>
      <c r="L9">
        <v>155.19999999999999</v>
      </c>
      <c r="M9">
        <v>9026.2000000000007</v>
      </c>
      <c r="Q9" t="s">
        <v>146</v>
      </c>
      <c r="R9">
        <v>5</v>
      </c>
      <c r="S9">
        <v>1667</v>
      </c>
      <c r="T9">
        <v>333.4</v>
      </c>
      <c r="U9">
        <v>26366.799999999988</v>
      </c>
    </row>
    <row r="10" spans="1:21" x14ac:dyDescent="0.35">
      <c r="A10" t="s">
        <v>147</v>
      </c>
      <c r="B10">
        <v>5</v>
      </c>
      <c r="C10">
        <v>1777</v>
      </c>
      <c r="D10">
        <v>355.4</v>
      </c>
      <c r="E10">
        <v>7384.7999999999884</v>
      </c>
      <c r="I10" t="s">
        <v>147</v>
      </c>
      <c r="J10">
        <v>5</v>
      </c>
      <c r="K10">
        <v>803</v>
      </c>
      <c r="L10">
        <v>160.6</v>
      </c>
      <c r="M10">
        <v>15467.3</v>
      </c>
      <c r="Q10" t="s">
        <v>147</v>
      </c>
      <c r="R10">
        <v>5</v>
      </c>
      <c r="S10">
        <v>1303</v>
      </c>
      <c r="T10">
        <v>260.60000000000002</v>
      </c>
      <c r="U10">
        <v>8206.3000000000029</v>
      </c>
    </row>
    <row r="12" spans="1:21" x14ac:dyDescent="0.35">
      <c r="A12" t="s">
        <v>148</v>
      </c>
      <c r="B12">
        <v>7</v>
      </c>
      <c r="C12">
        <v>1294</v>
      </c>
      <c r="D12">
        <v>184.85714285714286</v>
      </c>
      <c r="E12">
        <v>5971.1428571428551</v>
      </c>
      <c r="I12" t="s">
        <v>148</v>
      </c>
      <c r="J12">
        <v>7</v>
      </c>
      <c r="K12">
        <v>381</v>
      </c>
      <c r="L12">
        <v>54.428571428571431</v>
      </c>
      <c r="M12">
        <v>4377.6190476190477</v>
      </c>
      <c r="Q12" t="s">
        <v>148</v>
      </c>
      <c r="R12">
        <v>7</v>
      </c>
      <c r="S12">
        <v>612</v>
      </c>
      <c r="T12">
        <v>87.428571428571431</v>
      </c>
      <c r="U12">
        <v>937.61904761904714</v>
      </c>
    </row>
    <row r="13" spans="1:21" x14ac:dyDescent="0.35">
      <c r="A13" t="s">
        <v>149</v>
      </c>
      <c r="B13">
        <v>7</v>
      </c>
      <c r="C13">
        <v>1819</v>
      </c>
      <c r="D13">
        <v>259.85714285714283</v>
      </c>
      <c r="E13">
        <v>2915.1428571428601</v>
      </c>
      <c r="I13" t="s">
        <v>149</v>
      </c>
      <c r="J13">
        <v>7</v>
      </c>
      <c r="K13">
        <v>834</v>
      </c>
      <c r="L13">
        <v>119.14285714285714</v>
      </c>
      <c r="M13">
        <v>2236.8095238095243</v>
      </c>
      <c r="Q13" t="s">
        <v>149</v>
      </c>
      <c r="R13">
        <v>7</v>
      </c>
      <c r="S13">
        <v>1671</v>
      </c>
      <c r="T13">
        <v>238.71428571428572</v>
      </c>
      <c r="U13">
        <v>4400.9047619047633</v>
      </c>
    </row>
    <row r="14" spans="1:21" x14ac:dyDescent="0.35">
      <c r="A14" t="s">
        <v>150</v>
      </c>
      <c r="B14">
        <v>7</v>
      </c>
      <c r="C14">
        <v>2680</v>
      </c>
      <c r="D14">
        <v>382.85714285714283</v>
      </c>
      <c r="E14">
        <v>4241.1428571428596</v>
      </c>
      <c r="I14" t="s">
        <v>150</v>
      </c>
      <c r="J14">
        <v>7</v>
      </c>
      <c r="K14">
        <v>2222</v>
      </c>
      <c r="L14">
        <v>317.42857142857144</v>
      </c>
      <c r="M14">
        <v>5699.2857142857201</v>
      </c>
      <c r="Q14" t="s">
        <v>150</v>
      </c>
      <c r="R14">
        <v>7</v>
      </c>
      <c r="S14">
        <v>2587</v>
      </c>
      <c r="T14">
        <v>369.57142857142856</v>
      </c>
      <c r="U14">
        <v>3550.6190476190532</v>
      </c>
    </row>
    <row r="15" spans="1:21" x14ac:dyDescent="0.35">
      <c r="A15" t="s">
        <v>151</v>
      </c>
      <c r="B15">
        <v>7</v>
      </c>
      <c r="C15">
        <v>2538</v>
      </c>
      <c r="D15">
        <v>362.57142857142856</v>
      </c>
      <c r="E15">
        <v>3318.2857142857197</v>
      </c>
      <c r="I15" t="s">
        <v>151</v>
      </c>
      <c r="J15">
        <v>7</v>
      </c>
      <c r="K15">
        <v>1971</v>
      </c>
      <c r="L15">
        <v>281.57142857142856</v>
      </c>
      <c r="M15">
        <v>3628.9523809523866</v>
      </c>
      <c r="Q15" t="s">
        <v>151</v>
      </c>
      <c r="R15">
        <v>7</v>
      </c>
      <c r="S15">
        <v>2620</v>
      </c>
      <c r="T15">
        <v>374.28571428571428</v>
      </c>
      <c r="U15">
        <v>2882.9047619047537</v>
      </c>
    </row>
    <row r="16" spans="1:21" ht="15" thickBot="1" x14ac:dyDescent="0.4">
      <c r="A16" s="32" t="s">
        <v>152</v>
      </c>
      <c r="B16" s="32">
        <v>7</v>
      </c>
      <c r="C16" s="32">
        <v>2686</v>
      </c>
      <c r="D16" s="32">
        <v>383.71428571428572</v>
      </c>
      <c r="E16" s="32">
        <v>4318.9047619047533</v>
      </c>
      <c r="I16" s="32" t="s">
        <v>152</v>
      </c>
      <c r="J16" s="32">
        <v>7</v>
      </c>
      <c r="K16" s="32">
        <v>2169</v>
      </c>
      <c r="L16" s="32">
        <v>309.85714285714283</v>
      </c>
      <c r="M16" s="32">
        <v>6914.4761904761936</v>
      </c>
      <c r="Q16" s="32" t="s">
        <v>152</v>
      </c>
      <c r="R16" s="32">
        <v>7</v>
      </c>
      <c r="S16" s="32">
        <v>2506</v>
      </c>
      <c r="T16" s="32">
        <v>358</v>
      </c>
      <c r="U16" s="32">
        <v>3680.3333333333335</v>
      </c>
    </row>
    <row r="19" spans="1:23" ht="15" thickBot="1" x14ac:dyDescent="0.4">
      <c r="A19" t="s">
        <v>28</v>
      </c>
      <c r="I19" t="s">
        <v>28</v>
      </c>
      <c r="Q19" t="s">
        <v>28</v>
      </c>
    </row>
    <row r="20" spans="1:23" x14ac:dyDescent="0.35">
      <c r="A20" s="18" t="s">
        <v>31</v>
      </c>
      <c r="B20" s="18" t="s">
        <v>25</v>
      </c>
      <c r="C20" s="18" t="s">
        <v>26</v>
      </c>
      <c r="D20" s="18" t="s">
        <v>27</v>
      </c>
      <c r="E20" s="18" t="s">
        <v>32</v>
      </c>
      <c r="F20" s="18" t="s">
        <v>33</v>
      </c>
      <c r="G20" s="18" t="s">
        <v>43</v>
      </c>
      <c r="I20" s="18" t="s">
        <v>31</v>
      </c>
      <c r="J20" s="18" t="s">
        <v>25</v>
      </c>
      <c r="K20" s="18" t="s">
        <v>26</v>
      </c>
      <c r="L20" s="18" t="s">
        <v>27</v>
      </c>
      <c r="M20" s="18" t="s">
        <v>32</v>
      </c>
      <c r="N20" s="18" t="s">
        <v>33</v>
      </c>
      <c r="O20" s="18" t="s">
        <v>43</v>
      </c>
      <c r="Q20" s="18" t="s">
        <v>31</v>
      </c>
      <c r="R20" s="18" t="s">
        <v>25</v>
      </c>
      <c r="S20" s="18" t="s">
        <v>26</v>
      </c>
      <c r="T20" s="18" t="s">
        <v>27</v>
      </c>
      <c r="U20" s="18" t="s">
        <v>32</v>
      </c>
      <c r="V20" s="18" t="s">
        <v>33</v>
      </c>
      <c r="W20" s="18" t="s">
        <v>43</v>
      </c>
    </row>
    <row r="21" spans="1:23" x14ac:dyDescent="0.35">
      <c r="A21" t="s">
        <v>49</v>
      </c>
      <c r="B21">
        <v>85072.171428571397</v>
      </c>
      <c r="C21">
        <v>6</v>
      </c>
      <c r="D21">
        <v>14178.695238095233</v>
      </c>
      <c r="E21">
        <v>8.6115148903433116</v>
      </c>
      <c r="F21">
        <v>4.7218804282676579E-5</v>
      </c>
      <c r="G21">
        <v>2.5081888234232559</v>
      </c>
      <c r="I21" t="s">
        <v>49</v>
      </c>
      <c r="J21">
        <v>58233.942857142829</v>
      </c>
      <c r="K21">
        <v>6</v>
      </c>
      <c r="L21">
        <v>9705.6571428571388</v>
      </c>
      <c r="M21">
        <v>2.9519576278182553</v>
      </c>
      <c r="N21">
        <v>2.6540423840703348E-2</v>
      </c>
      <c r="O21">
        <v>2.5081888234232559</v>
      </c>
      <c r="Q21" t="s">
        <v>49</v>
      </c>
      <c r="R21">
        <v>50063.599999999977</v>
      </c>
      <c r="S21">
        <v>6</v>
      </c>
      <c r="T21">
        <v>8343.9333333333288</v>
      </c>
      <c r="U21">
        <v>4.6952211118360836</v>
      </c>
      <c r="V21">
        <v>2.7144649208904891E-3</v>
      </c>
      <c r="W21">
        <v>2.5081888234232559</v>
      </c>
    </row>
    <row r="22" spans="1:23" x14ac:dyDescent="0.35">
      <c r="A22" t="s">
        <v>58</v>
      </c>
      <c r="B22">
        <v>220968.45714285711</v>
      </c>
      <c r="C22">
        <v>4</v>
      </c>
      <c r="D22">
        <v>55242.114285714277</v>
      </c>
      <c r="E22">
        <v>33.551626701681158</v>
      </c>
      <c r="F22">
        <v>1.6606146059093755E-9</v>
      </c>
      <c r="G22">
        <v>2.7762892892514786</v>
      </c>
      <c r="I22" t="s">
        <v>58</v>
      </c>
      <c r="J22">
        <v>412173.88571428566</v>
      </c>
      <c r="K22">
        <v>4</v>
      </c>
      <c r="L22">
        <v>103043.47142857141</v>
      </c>
      <c r="M22">
        <v>31.340480814769411</v>
      </c>
      <c r="N22">
        <v>3.2800032757234696E-9</v>
      </c>
      <c r="O22">
        <v>2.7762892892514786</v>
      </c>
      <c r="Q22" t="s">
        <v>58</v>
      </c>
      <c r="R22">
        <v>431398.11428571434</v>
      </c>
      <c r="S22">
        <v>4</v>
      </c>
      <c r="T22">
        <v>107849.52857142859</v>
      </c>
      <c r="U22">
        <v>60.688090762566894</v>
      </c>
      <c r="V22">
        <v>3.3537021761768956E-12</v>
      </c>
      <c r="W22">
        <v>2.7762892892514786</v>
      </c>
    </row>
    <row r="23" spans="1:23" x14ac:dyDescent="0.35">
      <c r="A23" t="s">
        <v>71</v>
      </c>
      <c r="B23">
        <v>39515.542857142922</v>
      </c>
      <c r="C23">
        <v>24</v>
      </c>
      <c r="D23">
        <v>1646.4809523809552</v>
      </c>
      <c r="I23" t="s">
        <v>71</v>
      </c>
      <c r="J23">
        <v>78908.914285714331</v>
      </c>
      <c r="K23">
        <v>24</v>
      </c>
      <c r="L23">
        <v>3287.8714285714304</v>
      </c>
      <c r="Q23" t="s">
        <v>71</v>
      </c>
      <c r="R23">
        <v>42650.685714285704</v>
      </c>
      <c r="S23">
        <v>24</v>
      </c>
      <c r="T23">
        <v>1777.1119047619043</v>
      </c>
    </row>
    <row r="25" spans="1:23" ht="15" thickBot="1" x14ac:dyDescent="0.4">
      <c r="A25" s="32" t="s">
        <v>30</v>
      </c>
      <c r="B25" s="32">
        <v>345556.1714285714</v>
      </c>
      <c r="C25" s="32">
        <v>34</v>
      </c>
      <c r="D25" s="32"/>
      <c r="E25" s="32"/>
      <c r="F25" s="32"/>
      <c r="G25" s="32"/>
      <c r="I25" s="32" t="s">
        <v>30</v>
      </c>
      <c r="J25" s="32">
        <v>549316.74285714282</v>
      </c>
      <c r="K25" s="32">
        <v>34</v>
      </c>
      <c r="L25" s="32"/>
      <c r="M25" s="32"/>
      <c r="N25" s="32"/>
      <c r="O25" s="32"/>
      <c r="Q25" s="32" t="s">
        <v>30</v>
      </c>
      <c r="R25" s="32">
        <v>524112.4</v>
      </c>
      <c r="S25" s="32">
        <v>34</v>
      </c>
      <c r="T25" s="32"/>
      <c r="U25" s="32"/>
      <c r="V25" s="32"/>
      <c r="W25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421C6-DB2E-4370-9F03-711141C1AE77}">
  <dimension ref="A1:AK28"/>
  <sheetViews>
    <sheetView zoomScaleNormal="100" workbookViewId="0"/>
  </sheetViews>
  <sheetFormatPr defaultRowHeight="14.5" x14ac:dyDescent="0.35"/>
  <cols>
    <col min="2" max="6" width="6.54296875" customWidth="1"/>
    <col min="8" max="8" width="9.7265625" customWidth="1"/>
    <col min="15" max="15" width="3.453125" customWidth="1"/>
    <col min="16" max="16" width="15.453125" customWidth="1"/>
  </cols>
  <sheetData>
    <row r="1" spans="1:37" x14ac:dyDescent="0.35">
      <c r="A1" s="1" t="s">
        <v>0</v>
      </c>
      <c r="Y1" t="s">
        <v>153</v>
      </c>
      <c r="AF1" t="s">
        <v>154</v>
      </c>
    </row>
    <row r="3" spans="1:37" x14ac:dyDescent="0.3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H3" t="s">
        <v>155</v>
      </c>
      <c r="P3" t="s">
        <v>156</v>
      </c>
      <c r="Y3" s="3" t="s">
        <v>1</v>
      </c>
      <c r="Z3" s="4" t="s">
        <v>2</v>
      </c>
      <c r="AA3" s="4" t="s">
        <v>3</v>
      </c>
      <c r="AB3" s="4" t="s">
        <v>4</v>
      </c>
      <c r="AC3" s="4" t="s">
        <v>5</v>
      </c>
      <c r="AD3" s="4" t="s">
        <v>6</v>
      </c>
      <c r="AF3" t="e">
        <f t="array" aca="1" ref="AF3:AK24" ca="1">QSORTRows(Y3:AD24,1,TRUE)</f>
        <v>#NAME?</v>
      </c>
      <c r="AG3" t="e">
        <f ca="1"/>
        <v>#NAME?</v>
      </c>
      <c r="AH3" t="e">
        <f ca="1"/>
        <v>#NAME?</v>
      </c>
      <c r="AI3" t="e">
        <f ca="1"/>
        <v>#NAME?</v>
      </c>
      <c r="AJ3" t="e">
        <f ca="1"/>
        <v>#NAME?</v>
      </c>
      <c r="AK3" t="e">
        <f ca="1"/>
        <v>#NAME?</v>
      </c>
    </row>
    <row r="4" spans="1:37" x14ac:dyDescent="0.35">
      <c r="A4" s="6" t="s">
        <v>21</v>
      </c>
      <c r="B4" s="7">
        <v>250</v>
      </c>
      <c r="C4" s="8">
        <v>278</v>
      </c>
      <c r="D4" s="8">
        <v>442</v>
      </c>
      <c r="E4" s="8">
        <v>368</v>
      </c>
      <c r="F4" s="9">
        <v>456</v>
      </c>
      <c r="Y4" s="20" t="s">
        <v>21</v>
      </c>
      <c r="Z4" s="8">
        <v>230</v>
      </c>
      <c r="AA4" s="8">
        <v>306</v>
      </c>
      <c r="AB4" s="8">
        <v>432</v>
      </c>
      <c r="AC4" s="8">
        <v>386</v>
      </c>
      <c r="AD4" s="9">
        <v>423</v>
      </c>
      <c r="AF4" t="e">
        <f ca="1"/>
        <v>#NAME?</v>
      </c>
      <c r="AG4" s="6" t="e">
        <f ca="1"/>
        <v>#NAME?</v>
      </c>
      <c r="AH4" s="11" t="e">
        <f ca="1"/>
        <v>#NAME?</v>
      </c>
      <c r="AI4" s="11" t="e">
        <f ca="1"/>
        <v>#NAME?</v>
      </c>
      <c r="AJ4" s="11" t="e">
        <f ca="1"/>
        <v>#NAME?</v>
      </c>
      <c r="AK4" s="12" t="e">
        <f ca="1"/>
        <v>#NAME?</v>
      </c>
    </row>
    <row r="5" spans="1:37" ht="15" thickBot="1" x14ac:dyDescent="0.4">
      <c r="A5" s="13"/>
      <c r="B5" s="14">
        <v>65</v>
      </c>
      <c r="C5" s="15">
        <v>207</v>
      </c>
      <c r="D5" s="15">
        <v>341</v>
      </c>
      <c r="E5" s="15">
        <v>382</v>
      </c>
      <c r="F5" s="16">
        <v>298</v>
      </c>
      <c r="H5" t="s">
        <v>157</v>
      </c>
      <c r="I5" t="str">
        <f>IF(COUNTIF(I7:M9,I7)=COUNT(I7:M9),"balanced","unbalanced")</f>
        <v>balanced</v>
      </c>
      <c r="P5" t="s">
        <v>28</v>
      </c>
      <c r="T5" s="5" t="s">
        <v>158</v>
      </c>
      <c r="U5" s="5">
        <v>0.05</v>
      </c>
      <c r="Y5" s="25" t="s">
        <v>38</v>
      </c>
      <c r="Z5" s="15">
        <v>54</v>
      </c>
      <c r="AA5" s="15">
        <v>172</v>
      </c>
      <c r="AB5" s="15">
        <v>307</v>
      </c>
      <c r="AC5" s="15">
        <v>261</v>
      </c>
      <c r="AD5" s="16">
        <v>360</v>
      </c>
      <c r="AF5" t="e">
        <f ca="1"/>
        <v>#NAME?</v>
      </c>
      <c r="AG5" s="13" t="e">
        <f ca="1"/>
        <v>#NAME?</v>
      </c>
      <c r="AH5" t="e">
        <f ca="1"/>
        <v>#NAME?</v>
      </c>
      <c r="AI5" t="e">
        <f ca="1"/>
        <v>#NAME?</v>
      </c>
      <c r="AJ5" t="e">
        <f ca="1"/>
        <v>#NAME?</v>
      </c>
      <c r="AK5" s="21" t="e">
        <f ca="1"/>
        <v>#NAME?</v>
      </c>
    </row>
    <row r="6" spans="1:37" ht="15" thickTop="1" x14ac:dyDescent="0.35">
      <c r="A6" s="13"/>
      <c r="B6" s="14">
        <v>251</v>
      </c>
      <c r="C6" s="15">
        <v>261</v>
      </c>
      <c r="D6" s="15">
        <v>384</v>
      </c>
      <c r="E6" s="15">
        <v>421</v>
      </c>
      <c r="F6" s="16">
        <v>342</v>
      </c>
      <c r="I6" s="5" t="str">
        <f>B3</f>
        <v>Day 1</v>
      </c>
      <c r="J6" s="5" t="str">
        <f>C3</f>
        <v>Day 2</v>
      </c>
      <c r="K6" s="5" t="str">
        <f>D3</f>
        <v>Day 3</v>
      </c>
      <c r="L6" s="5" t="str">
        <f>E3</f>
        <v>Day 4</v>
      </c>
      <c r="M6" s="5" t="str">
        <f>F3</f>
        <v>Day 5</v>
      </c>
      <c r="P6" s="19"/>
      <c r="Q6" s="19" t="s">
        <v>25</v>
      </c>
      <c r="R6" s="19" t="s">
        <v>26</v>
      </c>
      <c r="S6" s="19" t="s">
        <v>27</v>
      </c>
      <c r="T6" s="19" t="s">
        <v>32</v>
      </c>
      <c r="U6" s="19" t="s">
        <v>159</v>
      </c>
      <c r="V6" s="19" t="s">
        <v>34</v>
      </c>
      <c r="Y6" s="25" t="s">
        <v>39</v>
      </c>
      <c r="Z6" s="15">
        <v>118</v>
      </c>
      <c r="AA6" s="15">
        <v>124</v>
      </c>
      <c r="AB6" s="15">
        <v>365</v>
      </c>
      <c r="AC6" s="15">
        <v>311</v>
      </c>
      <c r="AD6" s="16">
        <v>331</v>
      </c>
      <c r="AF6" t="e">
        <f ca="1"/>
        <v>#NAME?</v>
      </c>
      <c r="AG6" s="13" t="e">
        <f ca="1"/>
        <v>#NAME?</v>
      </c>
      <c r="AH6" t="e">
        <f ca="1"/>
        <v>#NAME?</v>
      </c>
      <c r="AI6" t="e">
        <f ca="1"/>
        <v>#NAME?</v>
      </c>
      <c r="AJ6" t="e">
        <f ca="1"/>
        <v>#NAME?</v>
      </c>
      <c r="AK6" s="21" t="e">
        <f ca="1"/>
        <v>#NAME?</v>
      </c>
    </row>
    <row r="7" spans="1:37" x14ac:dyDescent="0.35">
      <c r="A7" s="13"/>
      <c r="B7" s="14">
        <v>241</v>
      </c>
      <c r="C7" s="15">
        <v>314</v>
      </c>
      <c r="D7" s="15">
        <v>423</v>
      </c>
      <c r="E7" s="15">
        <v>415</v>
      </c>
      <c r="F7" s="16">
        <v>468</v>
      </c>
      <c r="H7" t="str">
        <f>A4</f>
        <v>Young</v>
      </c>
      <c r="I7" s="37">
        <f>COUNT(B4:B10)</f>
        <v>7</v>
      </c>
      <c r="J7" s="38">
        <f>COUNT(C4:C10)</f>
        <v>7</v>
      </c>
      <c r="K7" s="38">
        <f>COUNT(D4:D10)</f>
        <v>7</v>
      </c>
      <c r="L7" s="38">
        <f>COUNT(E4:E10)</f>
        <v>7</v>
      </c>
      <c r="M7" s="39">
        <f>COUNT(F4:F10)</f>
        <v>7</v>
      </c>
      <c r="N7">
        <f>COUNT(B4:F10)</f>
        <v>35</v>
      </c>
      <c r="P7" t="s">
        <v>42</v>
      </c>
      <c r="Q7" t="e">
        <f ca="1">DEVSQ(MEANROW(B4:F24))*(R11+1)</f>
        <v>#NAME?</v>
      </c>
      <c r="R7">
        <f>I10-1</f>
        <v>20</v>
      </c>
      <c r="Y7" s="25" t="s">
        <v>38</v>
      </c>
      <c r="Z7" s="15">
        <v>41</v>
      </c>
      <c r="AA7" s="15">
        <v>168</v>
      </c>
      <c r="AB7" s="15">
        <v>378</v>
      </c>
      <c r="AC7" s="15">
        <v>317</v>
      </c>
      <c r="AD7" s="16">
        <v>470</v>
      </c>
      <c r="AF7" t="e">
        <f ca="1"/>
        <v>#NAME?</v>
      </c>
      <c r="AG7" s="13" t="e">
        <f ca="1"/>
        <v>#NAME?</v>
      </c>
      <c r="AH7" t="e">
        <f ca="1"/>
        <v>#NAME?</v>
      </c>
      <c r="AI7" t="e">
        <f ca="1"/>
        <v>#NAME?</v>
      </c>
      <c r="AJ7" t="e">
        <f ca="1"/>
        <v>#NAME?</v>
      </c>
      <c r="AK7" s="21" t="e">
        <f ca="1"/>
        <v>#NAME?</v>
      </c>
    </row>
    <row r="8" spans="1:37" x14ac:dyDescent="0.35">
      <c r="A8" s="13"/>
      <c r="B8" s="14">
        <v>154</v>
      </c>
      <c r="C8" s="15">
        <v>167</v>
      </c>
      <c r="D8" s="15">
        <v>257</v>
      </c>
      <c r="E8" s="15">
        <v>275</v>
      </c>
      <c r="F8" s="16">
        <v>332</v>
      </c>
      <c r="H8" t="str">
        <f>A11</f>
        <v>Middle</v>
      </c>
      <c r="I8" s="40">
        <f>COUNT(B11:B17)</f>
        <v>7</v>
      </c>
      <c r="J8">
        <f>COUNT(C11:C17)</f>
        <v>7</v>
      </c>
      <c r="K8">
        <f>COUNT(D11:D17)</f>
        <v>7</v>
      </c>
      <c r="L8">
        <f>COUNT(E11:E17)</f>
        <v>7</v>
      </c>
      <c r="M8" s="41">
        <f>COUNT(F11:F17)</f>
        <v>7</v>
      </c>
      <c r="N8">
        <f>COUNT(B11:F17)</f>
        <v>35</v>
      </c>
      <c r="P8" t="s">
        <v>160</v>
      </c>
      <c r="Q8">
        <f>DEVSQ(N14:N16)*N7</f>
        <v>178358.1142857142</v>
      </c>
      <c r="R8">
        <f>COUNT(N14:N16)-1</f>
        <v>2</v>
      </c>
      <c r="S8">
        <f>Q8/R8</f>
        <v>89179.057142857098</v>
      </c>
      <c r="T8" t="e">
        <f ca="1">S8/S9</f>
        <v>#NAME?</v>
      </c>
      <c r="U8" t="e">
        <f ca="1">FDIST(T8,R8,R9)</f>
        <v>#NAME?</v>
      </c>
      <c r="V8" t="e">
        <f ca="1">Q8/(Q8+Q9)</f>
        <v>#NAME?</v>
      </c>
      <c r="Y8" s="25" t="s">
        <v>39</v>
      </c>
      <c r="Z8" s="15">
        <v>83</v>
      </c>
      <c r="AA8" s="15">
        <v>266</v>
      </c>
      <c r="AB8" s="15">
        <v>382</v>
      </c>
      <c r="AC8" s="15">
        <v>369</v>
      </c>
      <c r="AD8" s="16">
        <v>295</v>
      </c>
      <c r="AF8" t="e">
        <f ca="1"/>
        <v>#NAME?</v>
      </c>
      <c r="AG8" s="13" t="e">
        <f ca="1"/>
        <v>#NAME?</v>
      </c>
      <c r="AH8" t="e">
        <f ca="1"/>
        <v>#NAME?</v>
      </c>
      <c r="AI8" t="e">
        <f ca="1"/>
        <v>#NAME?</v>
      </c>
      <c r="AJ8" t="e">
        <f ca="1"/>
        <v>#NAME?</v>
      </c>
      <c r="AK8" s="21" t="e">
        <f ca="1"/>
        <v>#NAME?</v>
      </c>
    </row>
    <row r="9" spans="1:37" x14ac:dyDescent="0.35">
      <c r="A9" s="13"/>
      <c r="B9" s="14">
        <v>103</v>
      </c>
      <c r="C9" s="15">
        <v>286</v>
      </c>
      <c r="D9" s="15">
        <v>401</v>
      </c>
      <c r="E9" s="15">
        <v>291</v>
      </c>
      <c r="F9" s="16">
        <v>367</v>
      </c>
      <c r="H9" t="str">
        <f>A18</f>
        <v>Old</v>
      </c>
      <c r="I9" s="42">
        <f>COUNT(B18:B24)</f>
        <v>7</v>
      </c>
      <c r="J9" s="43">
        <f>COUNT(C18:C24)</f>
        <v>7</v>
      </c>
      <c r="K9" s="43">
        <f>COUNT(D18:D24)</f>
        <v>7</v>
      </c>
      <c r="L9" s="43">
        <f>COUNT(E18:E24)</f>
        <v>7</v>
      </c>
      <c r="M9" s="44">
        <f>COUNT(F18:F24)</f>
        <v>7</v>
      </c>
      <c r="N9">
        <f>COUNT(B18:F24)</f>
        <v>35</v>
      </c>
      <c r="P9" t="s">
        <v>161</v>
      </c>
      <c r="Q9" t="e">
        <f ca="1">Q7-Q8</f>
        <v>#NAME?</v>
      </c>
      <c r="R9">
        <f>R7-R8</f>
        <v>18</v>
      </c>
      <c r="S9" t="e">
        <f ca="1">Q9/R9</f>
        <v>#NAME?</v>
      </c>
      <c r="Y9" s="25" t="s">
        <v>21</v>
      </c>
      <c r="Z9" s="15">
        <v>103</v>
      </c>
      <c r="AA9" s="15">
        <v>286</v>
      </c>
      <c r="AB9" s="15">
        <v>401</v>
      </c>
      <c r="AC9" s="15">
        <v>291</v>
      </c>
      <c r="AD9" s="16">
        <v>367</v>
      </c>
      <c r="AF9" t="e">
        <f ca="1"/>
        <v>#NAME?</v>
      </c>
      <c r="AG9" s="13" t="e">
        <f ca="1"/>
        <v>#NAME?</v>
      </c>
      <c r="AH9" t="e">
        <f ca="1"/>
        <v>#NAME?</v>
      </c>
      <c r="AI9" t="e">
        <f ca="1"/>
        <v>#NAME?</v>
      </c>
      <c r="AJ9" t="e">
        <f ca="1"/>
        <v>#NAME?</v>
      </c>
      <c r="AK9" s="21" t="e">
        <f ca="1"/>
        <v>#NAME?</v>
      </c>
    </row>
    <row r="10" spans="1:37" x14ac:dyDescent="0.35">
      <c r="A10" s="22"/>
      <c r="B10" s="28">
        <v>230</v>
      </c>
      <c r="C10" s="15">
        <v>306</v>
      </c>
      <c r="D10" s="29">
        <v>432</v>
      </c>
      <c r="E10" s="29">
        <v>386</v>
      </c>
      <c r="F10" s="30">
        <v>423</v>
      </c>
      <c r="I10">
        <f>COUNT(B4:B24)</f>
        <v>21</v>
      </c>
      <c r="J10">
        <f>COUNT(C4:C24)</f>
        <v>21</v>
      </c>
      <c r="K10">
        <f>COUNT(D4:D24)</f>
        <v>21</v>
      </c>
      <c r="L10">
        <f>COUNT(E4:E24)</f>
        <v>21</v>
      </c>
      <c r="M10">
        <f>COUNT(F4:F24)</f>
        <v>21</v>
      </c>
      <c r="N10">
        <f>COUNT(B4:F24)</f>
        <v>105</v>
      </c>
      <c r="P10" t="s">
        <v>70</v>
      </c>
      <c r="Q10" t="e">
        <f ca="1">Q14-Q7</f>
        <v>#NAME?</v>
      </c>
      <c r="R10">
        <f>R14-R7</f>
        <v>84</v>
      </c>
      <c r="Y10" s="25" t="s">
        <v>39</v>
      </c>
      <c r="Z10" s="15">
        <v>123</v>
      </c>
      <c r="AA10" s="15">
        <v>331</v>
      </c>
      <c r="AB10" s="15">
        <v>407</v>
      </c>
      <c r="AC10" s="15">
        <v>461</v>
      </c>
      <c r="AD10" s="16">
        <v>445</v>
      </c>
      <c r="AF10" t="e">
        <f ca="1"/>
        <v>#NAME?</v>
      </c>
      <c r="AG10" s="13" t="e">
        <f ca="1"/>
        <v>#NAME?</v>
      </c>
      <c r="AH10" t="e">
        <f ca="1"/>
        <v>#NAME?</v>
      </c>
      <c r="AI10" t="e">
        <f ca="1"/>
        <v>#NAME?</v>
      </c>
      <c r="AJ10" t="e">
        <f ca="1"/>
        <v>#NAME?</v>
      </c>
      <c r="AK10" s="21" t="e">
        <f ca="1"/>
        <v>#NAME?</v>
      </c>
    </row>
    <row r="11" spans="1:37" x14ac:dyDescent="0.35">
      <c r="A11" s="20" t="s">
        <v>38</v>
      </c>
      <c r="B11" s="7">
        <v>54</v>
      </c>
      <c r="C11" s="8">
        <v>172</v>
      </c>
      <c r="D11" s="8">
        <v>307</v>
      </c>
      <c r="E11" s="8">
        <v>261</v>
      </c>
      <c r="F11" s="9">
        <v>360</v>
      </c>
      <c r="P11" t="s">
        <v>162</v>
      </c>
      <c r="Q11">
        <f>DEVSQ(I17:M17)*I10</f>
        <v>1025800.3809523809</v>
      </c>
      <c r="R11">
        <f>COUNT(I17:M17)-1</f>
        <v>4</v>
      </c>
      <c r="S11">
        <f>Q11/R11</f>
        <v>256450.09523809524</v>
      </c>
      <c r="T11" t="e">
        <f ca="1">S11/S13</f>
        <v>#NAME?</v>
      </c>
      <c r="U11" t="e">
        <f ca="1">F_DIST_RT(T11,R11,R13)</f>
        <v>#NAME?</v>
      </c>
      <c r="V11" t="e">
        <f ca="1">Q11/(Q11+Q13)</f>
        <v>#NAME?</v>
      </c>
      <c r="Y11" s="25" t="s">
        <v>38</v>
      </c>
      <c r="Z11" s="15">
        <v>200</v>
      </c>
      <c r="AA11" s="15">
        <v>157</v>
      </c>
      <c r="AB11" s="15">
        <v>283</v>
      </c>
      <c r="AC11" s="15">
        <v>259</v>
      </c>
      <c r="AD11" s="16">
        <v>273</v>
      </c>
      <c r="AF11" t="e">
        <f ca="1"/>
        <v>#NAME?</v>
      </c>
      <c r="AG11" s="13" t="e">
        <f ca="1"/>
        <v>#NAME?</v>
      </c>
      <c r="AH11" t="e">
        <f ca="1"/>
        <v>#NAME?</v>
      </c>
      <c r="AI11" t="e">
        <f ca="1"/>
        <v>#NAME?</v>
      </c>
      <c r="AJ11" t="e">
        <f ca="1"/>
        <v>#NAME?</v>
      </c>
      <c r="AK11" s="21" t="e">
        <f ca="1"/>
        <v>#NAME?</v>
      </c>
    </row>
    <row r="12" spans="1:37" x14ac:dyDescent="0.35">
      <c r="A12" s="25"/>
      <c r="B12" s="14">
        <v>20</v>
      </c>
      <c r="C12" s="15">
        <v>116</v>
      </c>
      <c r="D12" s="15">
        <v>425</v>
      </c>
      <c r="E12" s="15">
        <v>398</v>
      </c>
      <c r="F12" s="16">
        <v>268</v>
      </c>
      <c r="H12" t="s">
        <v>163</v>
      </c>
      <c r="P12" t="s">
        <v>164</v>
      </c>
      <c r="Q12" t="e">
        <f ca="1">Q10-Q11-Q13</f>
        <v>#NAME?</v>
      </c>
      <c r="R12">
        <f>R8*R11</f>
        <v>8</v>
      </c>
      <c r="S12" t="e">
        <f ca="1">Q12/R12</f>
        <v>#NAME?</v>
      </c>
      <c r="T12" t="e">
        <f ca="1">S12/S13</f>
        <v>#NAME?</v>
      </c>
      <c r="U12" t="e">
        <f ca="1">F_DIST_RT(T12,R12,R13)</f>
        <v>#NAME?</v>
      </c>
      <c r="V12" t="e">
        <f ca="1">Q12/(Q12+Q13)</f>
        <v>#NAME?</v>
      </c>
      <c r="Y12" s="25" t="s">
        <v>21</v>
      </c>
      <c r="Z12" s="15">
        <v>251</v>
      </c>
      <c r="AA12" s="15">
        <v>261</v>
      </c>
      <c r="AB12" s="15">
        <v>384</v>
      </c>
      <c r="AC12" s="15">
        <v>421</v>
      </c>
      <c r="AD12" s="16">
        <v>342</v>
      </c>
      <c r="AF12" t="e">
        <f ca="1"/>
        <v>#NAME?</v>
      </c>
      <c r="AG12" s="13" t="e">
        <f ca="1"/>
        <v>#NAME?</v>
      </c>
      <c r="AH12" t="e">
        <f ca="1"/>
        <v>#NAME?</v>
      </c>
      <c r="AI12" t="e">
        <f ca="1"/>
        <v>#NAME?</v>
      </c>
      <c r="AJ12" t="e">
        <f ca="1"/>
        <v>#NAME?</v>
      </c>
      <c r="AK12" s="21" t="e">
        <f ca="1"/>
        <v>#NAME?</v>
      </c>
    </row>
    <row r="13" spans="1:37" x14ac:dyDescent="0.35">
      <c r="A13" s="25"/>
      <c r="B13" s="14">
        <v>41</v>
      </c>
      <c r="C13" s="15">
        <v>168</v>
      </c>
      <c r="D13" s="15">
        <v>378</v>
      </c>
      <c r="E13" s="15">
        <v>317</v>
      </c>
      <c r="F13" s="16">
        <v>470</v>
      </c>
      <c r="I13" s="5" t="str">
        <f>B3</f>
        <v>Day 1</v>
      </c>
      <c r="J13" s="5" t="str">
        <f>C3</f>
        <v>Day 2</v>
      </c>
      <c r="K13" s="5" t="str">
        <f>D3</f>
        <v>Day 3</v>
      </c>
      <c r="L13" s="5" t="str">
        <f>E3</f>
        <v>Day 4</v>
      </c>
      <c r="M13" s="5" t="str">
        <f>F3</f>
        <v>Day 5</v>
      </c>
      <c r="P13" t="s">
        <v>161</v>
      </c>
      <c r="Q13" t="e">
        <f ca="1">SUM(I21:M23)*(I7-1)-Q9</f>
        <v>#NAME?</v>
      </c>
      <c r="R13">
        <f>R10-R11-R12</f>
        <v>72</v>
      </c>
      <c r="S13" t="e">
        <f ca="1">Q13/R13</f>
        <v>#NAME?</v>
      </c>
      <c r="Y13" s="25" t="s">
        <v>39</v>
      </c>
      <c r="Z13" s="15">
        <v>71</v>
      </c>
      <c r="AA13" s="15">
        <v>285</v>
      </c>
      <c r="AB13" s="15">
        <v>471</v>
      </c>
      <c r="AC13" s="15">
        <v>407</v>
      </c>
      <c r="AD13" s="16">
        <v>433</v>
      </c>
      <c r="AF13" t="e">
        <f ca="1"/>
        <v>#NAME?</v>
      </c>
      <c r="AG13" s="13" t="e">
        <f ca="1"/>
        <v>#NAME?</v>
      </c>
      <c r="AH13" t="e">
        <f ca="1"/>
        <v>#NAME?</v>
      </c>
      <c r="AI13" t="e">
        <f ca="1"/>
        <v>#NAME?</v>
      </c>
      <c r="AJ13" t="e">
        <f ca="1"/>
        <v>#NAME?</v>
      </c>
      <c r="AK13" s="21" t="e">
        <f ca="1"/>
        <v>#NAME?</v>
      </c>
    </row>
    <row r="14" spans="1:37" x14ac:dyDescent="0.35">
      <c r="A14" s="25"/>
      <c r="B14" s="14">
        <v>200</v>
      </c>
      <c r="C14" s="15">
        <v>157</v>
      </c>
      <c r="D14" s="15">
        <v>283</v>
      </c>
      <c r="E14" s="15">
        <v>259</v>
      </c>
      <c r="F14" s="16">
        <v>273</v>
      </c>
      <c r="H14" t="str">
        <f>A4</f>
        <v>Young</v>
      </c>
      <c r="I14" s="37">
        <f>AVERAGE(B4:B10)</f>
        <v>184.85714285714286</v>
      </c>
      <c r="J14" s="38">
        <f>AVERAGE(C4:C10)</f>
        <v>259.85714285714283</v>
      </c>
      <c r="K14" s="38">
        <f>AVERAGE(D4:D10)</f>
        <v>382.85714285714283</v>
      </c>
      <c r="L14" s="38">
        <f>AVERAGE(E4:E10)</f>
        <v>362.57142857142856</v>
      </c>
      <c r="M14" s="39">
        <f>AVERAGE(F4:F10)</f>
        <v>383.71428571428572</v>
      </c>
      <c r="N14">
        <f>AVERAGE(B4:F10)</f>
        <v>314.77142857142854</v>
      </c>
      <c r="P14" s="23" t="s">
        <v>30</v>
      </c>
      <c r="Q14" s="23">
        <f>S14*R14</f>
        <v>1597343.4285714282</v>
      </c>
      <c r="R14" s="23">
        <f>N10-1</f>
        <v>104</v>
      </c>
      <c r="S14" s="23">
        <f>N24</f>
        <v>15359.071428571424</v>
      </c>
      <c r="T14" s="23"/>
      <c r="U14" s="23"/>
      <c r="V14" s="23"/>
      <c r="Y14" s="25" t="s">
        <v>38</v>
      </c>
      <c r="Z14" s="15">
        <v>3</v>
      </c>
      <c r="AA14" s="15">
        <v>54</v>
      </c>
      <c r="AB14" s="15">
        <v>285</v>
      </c>
      <c r="AC14" s="15">
        <v>216</v>
      </c>
      <c r="AD14" s="16">
        <v>245</v>
      </c>
      <c r="AF14" t="e">
        <f ca="1"/>
        <v>#NAME?</v>
      </c>
      <c r="AG14" s="13" t="e">
        <f ca="1"/>
        <v>#NAME?</v>
      </c>
      <c r="AH14" t="e">
        <f ca="1"/>
        <v>#NAME?</v>
      </c>
      <c r="AI14" t="e">
        <f ca="1"/>
        <v>#NAME?</v>
      </c>
      <c r="AJ14" t="e">
        <f ca="1"/>
        <v>#NAME?</v>
      </c>
      <c r="AK14" s="21" t="e">
        <f ca="1"/>
        <v>#NAME?</v>
      </c>
    </row>
    <row r="15" spans="1:37" x14ac:dyDescent="0.35">
      <c r="A15" s="25"/>
      <c r="B15" s="14">
        <v>34</v>
      </c>
      <c r="C15" s="15">
        <v>86</v>
      </c>
      <c r="D15" s="15">
        <v>351</v>
      </c>
      <c r="E15" s="15">
        <v>280</v>
      </c>
      <c r="F15" s="16">
        <v>320</v>
      </c>
      <c r="H15" t="str">
        <f>A11</f>
        <v>Middle</v>
      </c>
      <c r="I15" s="40">
        <f>AVERAGE(B11:B17)</f>
        <v>54.428571428571431</v>
      </c>
      <c r="J15">
        <f>AVERAGE(C11:C17)</f>
        <v>119.14285714285714</v>
      </c>
      <c r="K15">
        <f>AVERAGE(D11:D17)</f>
        <v>317.42857142857144</v>
      </c>
      <c r="L15">
        <f>AVERAGE(E11:E17)</f>
        <v>281.57142857142856</v>
      </c>
      <c r="M15" s="41">
        <f>AVERAGE(F11:F17)</f>
        <v>309.85714285714283</v>
      </c>
      <c r="N15">
        <f>AVERAGE(B11:F17)</f>
        <v>216.48571428571429</v>
      </c>
      <c r="Y15" s="25" t="s">
        <v>21</v>
      </c>
      <c r="Z15" s="15">
        <v>241</v>
      </c>
      <c r="AA15" s="15">
        <v>314</v>
      </c>
      <c r="AB15" s="15">
        <v>423</v>
      </c>
      <c r="AC15" s="15">
        <v>415</v>
      </c>
      <c r="AD15" s="16">
        <v>468</v>
      </c>
      <c r="AF15" t="e">
        <f ca="1"/>
        <v>#NAME?</v>
      </c>
      <c r="AG15" s="13" t="e">
        <f ca="1"/>
        <v>#NAME?</v>
      </c>
      <c r="AH15" t="e">
        <f ca="1"/>
        <v>#NAME?</v>
      </c>
      <c r="AI15" t="e">
        <f ca="1"/>
        <v>#NAME?</v>
      </c>
      <c r="AJ15" t="e">
        <f ca="1"/>
        <v>#NAME?</v>
      </c>
      <c r="AK15" s="21" t="e">
        <f ca="1"/>
        <v>#NAME?</v>
      </c>
    </row>
    <row r="16" spans="1:37" x14ac:dyDescent="0.35">
      <c r="A16" s="25"/>
      <c r="B16" s="14">
        <v>29</v>
      </c>
      <c r="C16" s="15">
        <v>81</v>
      </c>
      <c r="D16" s="15">
        <v>193</v>
      </c>
      <c r="E16" s="15">
        <v>240</v>
      </c>
      <c r="F16" s="16">
        <v>233</v>
      </c>
      <c r="H16" t="str">
        <f>A18</f>
        <v>Old</v>
      </c>
      <c r="I16" s="42">
        <f>AVERAGE(B18:B24)</f>
        <v>87.428571428571431</v>
      </c>
      <c r="J16" s="43">
        <f>AVERAGE(C18:C24)</f>
        <v>238.71428571428572</v>
      </c>
      <c r="K16" s="43">
        <f>AVERAGE(D18:D24)</f>
        <v>369.57142857142856</v>
      </c>
      <c r="L16" s="43">
        <f>AVERAGE(E18:E24)</f>
        <v>374.28571428571428</v>
      </c>
      <c r="M16" s="44">
        <f>AVERAGE(F18:F24)</f>
        <v>358</v>
      </c>
      <c r="N16">
        <f>AVERAGE(B18:F24)</f>
        <v>285.60000000000002</v>
      </c>
      <c r="Y16" s="25" t="s">
        <v>38</v>
      </c>
      <c r="Z16" s="15">
        <v>29</v>
      </c>
      <c r="AA16" s="15">
        <v>81</v>
      </c>
      <c r="AB16" s="15">
        <v>193</v>
      </c>
      <c r="AC16" s="15">
        <v>240</v>
      </c>
      <c r="AD16" s="16">
        <v>233</v>
      </c>
      <c r="AF16" t="e">
        <f ca="1"/>
        <v>#NAME?</v>
      </c>
      <c r="AG16" s="13" t="e">
        <f ca="1"/>
        <v>#NAME?</v>
      </c>
      <c r="AH16" t="e">
        <f ca="1"/>
        <v>#NAME?</v>
      </c>
      <c r="AI16" t="e">
        <f ca="1"/>
        <v>#NAME?</v>
      </c>
      <c r="AJ16" t="e">
        <f ca="1"/>
        <v>#NAME?</v>
      </c>
      <c r="AK16" s="21" t="e">
        <f ca="1"/>
        <v>#NAME?</v>
      </c>
    </row>
    <row r="17" spans="1:37" ht="15" thickBot="1" x14ac:dyDescent="0.4">
      <c r="A17" s="31"/>
      <c r="B17" s="28">
        <v>3</v>
      </c>
      <c r="C17" s="29">
        <v>54</v>
      </c>
      <c r="D17" s="29">
        <v>285</v>
      </c>
      <c r="E17" s="29">
        <v>216</v>
      </c>
      <c r="F17" s="30">
        <v>245</v>
      </c>
      <c r="I17">
        <f>AVERAGE(B4:B24)</f>
        <v>108.9047619047619</v>
      </c>
      <c r="J17">
        <f>AVERAGE(C4:C24)</f>
        <v>205.9047619047619</v>
      </c>
      <c r="K17">
        <f>AVERAGE(D4:D24)</f>
        <v>356.61904761904759</v>
      </c>
      <c r="L17">
        <f>AVERAGE(E4:E24)</f>
        <v>339.47619047619048</v>
      </c>
      <c r="M17">
        <f>AVERAGE(F4:F24)</f>
        <v>350.52380952380952</v>
      </c>
      <c r="N17">
        <f>AVERAGE(B4:F24)</f>
        <v>272.28571428571428</v>
      </c>
      <c r="P17" t="s">
        <v>116</v>
      </c>
      <c r="T17" t="s">
        <v>158</v>
      </c>
      <c r="U17">
        <v>0.05</v>
      </c>
      <c r="Y17" s="25" t="s">
        <v>39</v>
      </c>
      <c r="Z17" s="15">
        <v>38</v>
      </c>
      <c r="AA17" s="15">
        <v>207</v>
      </c>
      <c r="AB17" s="15">
        <v>289</v>
      </c>
      <c r="AC17" s="15">
        <v>385</v>
      </c>
      <c r="AD17" s="16">
        <v>373</v>
      </c>
      <c r="AF17" t="e">
        <f ca="1"/>
        <v>#NAME?</v>
      </c>
      <c r="AG17" s="13" t="e">
        <f ca="1"/>
        <v>#NAME?</v>
      </c>
      <c r="AH17" t="e">
        <f ca="1"/>
        <v>#NAME?</v>
      </c>
      <c r="AI17" t="e">
        <f ca="1"/>
        <v>#NAME?</v>
      </c>
      <c r="AJ17" t="e">
        <f ca="1"/>
        <v>#NAME?</v>
      </c>
      <c r="AK17" s="21" t="e">
        <f ca="1"/>
        <v>#NAME?</v>
      </c>
    </row>
    <row r="18" spans="1:37" ht="15" thickTop="1" x14ac:dyDescent="0.35">
      <c r="A18" s="20" t="s">
        <v>39</v>
      </c>
      <c r="B18" s="14">
        <v>118</v>
      </c>
      <c r="C18" s="15">
        <v>124</v>
      </c>
      <c r="D18" s="15">
        <v>365</v>
      </c>
      <c r="E18" s="15">
        <v>311</v>
      </c>
      <c r="F18" s="16">
        <v>331</v>
      </c>
      <c r="P18" s="19" t="s">
        <v>165</v>
      </c>
      <c r="Q18" s="19" t="s">
        <v>25</v>
      </c>
      <c r="R18" s="19" t="s">
        <v>26</v>
      </c>
      <c r="S18" s="19" t="s">
        <v>27</v>
      </c>
      <c r="T18" s="19" t="s">
        <v>32</v>
      </c>
      <c r="U18" s="19" t="s">
        <v>159</v>
      </c>
      <c r="V18" s="19" t="s">
        <v>34</v>
      </c>
      <c r="Y18" s="25" t="s">
        <v>38</v>
      </c>
      <c r="Z18" s="15">
        <v>20</v>
      </c>
      <c r="AA18" s="15">
        <v>116</v>
      </c>
      <c r="AB18" s="15">
        <v>425</v>
      </c>
      <c r="AC18" s="15">
        <v>398</v>
      </c>
      <c r="AD18" s="16">
        <v>268</v>
      </c>
      <c r="AF18" t="e">
        <f ca="1"/>
        <v>#NAME?</v>
      </c>
      <c r="AG18" s="13" t="e">
        <f ca="1"/>
        <v>#NAME?</v>
      </c>
      <c r="AH18" t="e">
        <f ca="1"/>
        <v>#NAME?</v>
      </c>
      <c r="AI18" t="e">
        <f ca="1"/>
        <v>#NAME?</v>
      </c>
      <c r="AJ18" t="e">
        <f ca="1"/>
        <v>#NAME?</v>
      </c>
      <c r="AK18" s="21" t="e">
        <f ca="1"/>
        <v>#NAME?</v>
      </c>
    </row>
    <row r="19" spans="1:37" x14ac:dyDescent="0.35">
      <c r="A19" s="25"/>
      <c r="B19" s="14">
        <v>83</v>
      </c>
      <c r="C19" s="15">
        <v>266</v>
      </c>
      <c r="D19" s="15">
        <v>382</v>
      </c>
      <c r="E19" s="15">
        <v>369</v>
      </c>
      <c r="F19" s="16">
        <v>295</v>
      </c>
      <c r="H19" t="s">
        <v>166</v>
      </c>
      <c r="P19" t="s">
        <v>58</v>
      </c>
      <c r="Q19">
        <f>Q11</f>
        <v>1025800.3809523809</v>
      </c>
      <c r="R19" t="e">
        <f ca="1">R11*I$26</f>
        <v>#NAME?</v>
      </c>
      <c r="S19" t="e">
        <f ca="1">Q19/R19</f>
        <v>#NAME?</v>
      </c>
      <c r="T19" t="e">
        <f ca="1">S19/S21</f>
        <v>#NAME?</v>
      </c>
      <c r="U19" t="e">
        <f ca="1">F_DIST_RT(T19,R19,R21)</f>
        <v>#NAME?</v>
      </c>
      <c r="V19" t="e">
        <f ca="1">Q19/(Q19+Q21)</f>
        <v>#NAME?</v>
      </c>
      <c r="Y19" s="25" t="s">
        <v>21</v>
      </c>
      <c r="Z19" s="15">
        <v>154</v>
      </c>
      <c r="AA19" s="15">
        <v>167</v>
      </c>
      <c r="AB19" s="15">
        <v>257</v>
      </c>
      <c r="AC19" s="15">
        <v>275</v>
      </c>
      <c r="AD19" s="16">
        <v>332</v>
      </c>
      <c r="AF19" t="e">
        <f ca="1"/>
        <v>#NAME?</v>
      </c>
      <c r="AG19" s="13" t="e">
        <f ca="1"/>
        <v>#NAME?</v>
      </c>
      <c r="AH19" t="e">
        <f ca="1"/>
        <v>#NAME?</v>
      </c>
      <c r="AI19" t="e">
        <f ca="1"/>
        <v>#NAME?</v>
      </c>
      <c r="AJ19" t="e">
        <f ca="1"/>
        <v>#NAME?</v>
      </c>
      <c r="AK19" s="21" t="e">
        <f ca="1"/>
        <v>#NAME?</v>
      </c>
    </row>
    <row r="20" spans="1:37" x14ac:dyDescent="0.35">
      <c r="A20" s="25"/>
      <c r="B20" s="14">
        <v>38</v>
      </c>
      <c r="C20" s="15">
        <v>207</v>
      </c>
      <c r="D20" s="15">
        <v>289</v>
      </c>
      <c r="E20" s="15">
        <v>385</v>
      </c>
      <c r="F20" s="16">
        <v>373</v>
      </c>
      <c r="I20" s="5" t="str">
        <f>B3</f>
        <v>Day 1</v>
      </c>
      <c r="J20" s="5" t="str">
        <f>C3</f>
        <v>Day 2</v>
      </c>
      <c r="K20" s="5" t="str">
        <f>D3</f>
        <v>Day 3</v>
      </c>
      <c r="L20" s="5" t="str">
        <f>E3</f>
        <v>Day 4</v>
      </c>
      <c r="M20" s="5" t="str">
        <f>F3</f>
        <v>Day 5</v>
      </c>
      <c r="P20" t="s">
        <v>47</v>
      </c>
      <c r="Q20" t="e">
        <f ca="1">Q12</f>
        <v>#NAME?</v>
      </c>
      <c r="R20" t="e">
        <f ca="1">R12*I$26</f>
        <v>#NAME?</v>
      </c>
      <c r="S20" t="e">
        <f ca="1">Q20/R20</f>
        <v>#NAME?</v>
      </c>
      <c r="T20" t="e">
        <f ca="1">S20/S21</f>
        <v>#NAME?</v>
      </c>
      <c r="U20" t="e">
        <f ca="1">F_DIST_RT(T20,R20,R21)</f>
        <v>#NAME?</v>
      </c>
      <c r="V20" t="e">
        <f ca="1">Q20/(Q20+Q21)</f>
        <v>#NAME?</v>
      </c>
      <c r="Y20" s="25" t="s">
        <v>38</v>
      </c>
      <c r="Z20" s="15">
        <v>34</v>
      </c>
      <c r="AA20" s="15">
        <v>86</v>
      </c>
      <c r="AB20" s="15">
        <v>351</v>
      </c>
      <c r="AC20" s="15">
        <v>280</v>
      </c>
      <c r="AD20" s="16">
        <v>320</v>
      </c>
      <c r="AF20" t="e">
        <f ca="1"/>
        <v>#NAME?</v>
      </c>
      <c r="AG20" s="13" t="e">
        <f ca="1"/>
        <v>#NAME?</v>
      </c>
      <c r="AH20" t="e">
        <f ca="1"/>
        <v>#NAME?</v>
      </c>
      <c r="AI20" t="e">
        <f ca="1"/>
        <v>#NAME?</v>
      </c>
      <c r="AJ20" t="e">
        <f ca="1"/>
        <v>#NAME?</v>
      </c>
      <c r="AK20" s="21" t="e">
        <f ca="1"/>
        <v>#NAME?</v>
      </c>
    </row>
    <row r="21" spans="1:37" x14ac:dyDescent="0.35">
      <c r="A21" s="25"/>
      <c r="B21" s="14">
        <v>71</v>
      </c>
      <c r="C21" s="15">
        <v>211</v>
      </c>
      <c r="D21" s="15">
        <v>356</v>
      </c>
      <c r="E21" s="15">
        <v>380</v>
      </c>
      <c r="F21" s="16">
        <v>305</v>
      </c>
      <c r="H21" t="str">
        <f>A4</f>
        <v>Young</v>
      </c>
      <c r="I21" s="45">
        <f>VAR(B4:B10)</f>
        <v>5971.1428571428551</v>
      </c>
      <c r="J21" s="46">
        <f>VAR(C4:C10)</f>
        <v>2915.1428571428601</v>
      </c>
      <c r="K21" s="46">
        <f>VAR(D4:D10)</f>
        <v>4241.1428571428596</v>
      </c>
      <c r="L21" s="46">
        <f>VAR(E4:E10)</f>
        <v>3318.2857142857197</v>
      </c>
      <c r="M21" s="47">
        <f>VAR(F4:F10)</f>
        <v>4318.9047619047533</v>
      </c>
      <c r="N21">
        <f>VAR(B4:F10)</f>
        <v>10163.416806722689</v>
      </c>
      <c r="P21" t="s">
        <v>71</v>
      </c>
      <c r="Q21" t="e">
        <f ca="1">Q13</f>
        <v>#NAME?</v>
      </c>
      <c r="R21" t="e">
        <f ca="1">R13*I$26</f>
        <v>#NAME?</v>
      </c>
      <c r="S21" t="e">
        <f ca="1">Q21/R21</f>
        <v>#NAME?</v>
      </c>
      <c r="Y21" s="25" t="s">
        <v>39</v>
      </c>
      <c r="Z21" s="15">
        <v>108</v>
      </c>
      <c r="AA21" s="15">
        <v>247</v>
      </c>
      <c r="AB21" s="15">
        <v>317</v>
      </c>
      <c r="AC21" s="15">
        <v>307</v>
      </c>
      <c r="AD21" s="16">
        <v>324</v>
      </c>
      <c r="AF21" t="e">
        <f ca="1"/>
        <v>#NAME?</v>
      </c>
      <c r="AG21" s="13" t="e">
        <f ca="1"/>
        <v>#NAME?</v>
      </c>
      <c r="AH21" t="e">
        <f ca="1"/>
        <v>#NAME?</v>
      </c>
      <c r="AI21" t="e">
        <f ca="1"/>
        <v>#NAME?</v>
      </c>
      <c r="AJ21" t="e">
        <f ca="1"/>
        <v>#NAME?</v>
      </c>
      <c r="AK21" s="21" t="e">
        <f ca="1"/>
        <v>#NAME?</v>
      </c>
    </row>
    <row r="22" spans="1:37" x14ac:dyDescent="0.35">
      <c r="A22" s="25"/>
      <c r="B22" s="14">
        <v>123</v>
      </c>
      <c r="C22" s="15">
        <v>331</v>
      </c>
      <c r="D22" s="15">
        <v>407</v>
      </c>
      <c r="E22" s="15">
        <v>461</v>
      </c>
      <c r="F22" s="16">
        <v>445</v>
      </c>
      <c r="H22" t="str">
        <f>A11</f>
        <v>Middle</v>
      </c>
      <c r="I22" s="40">
        <f>VAR(B11:B17)</f>
        <v>4377.6190476190477</v>
      </c>
      <c r="J22">
        <f>VAR(C11:C17)</f>
        <v>2236.8095238095243</v>
      </c>
      <c r="K22">
        <f>VAR(D11:D17)</f>
        <v>5699.2857142857201</v>
      </c>
      <c r="L22">
        <f>VAR(E11:E17)</f>
        <v>3628.9523809523866</v>
      </c>
      <c r="M22" s="41">
        <f>VAR(F11:F17)</f>
        <v>6914.4761904761936</v>
      </c>
      <c r="N22">
        <f>VAR(B11:F17)</f>
        <v>16156.374789915964</v>
      </c>
      <c r="P22" s="48"/>
      <c r="Q22" s="48"/>
      <c r="R22" s="48"/>
      <c r="S22" s="48"/>
      <c r="T22" s="48"/>
      <c r="U22" s="48"/>
      <c r="V22" s="48"/>
      <c r="Y22" s="25" t="s">
        <v>21</v>
      </c>
      <c r="Z22" s="15">
        <v>250</v>
      </c>
      <c r="AA22" s="15">
        <v>278</v>
      </c>
      <c r="AB22" s="15">
        <v>442</v>
      </c>
      <c r="AC22" s="15">
        <v>368</v>
      </c>
      <c r="AD22" s="16">
        <v>456</v>
      </c>
      <c r="AF22" t="e">
        <f ca="1"/>
        <v>#NAME?</v>
      </c>
      <c r="AG22" s="13" t="e">
        <f ca="1"/>
        <v>#NAME?</v>
      </c>
      <c r="AH22" t="e">
        <f ca="1"/>
        <v>#NAME?</v>
      </c>
      <c r="AI22" t="e">
        <f ca="1"/>
        <v>#NAME?</v>
      </c>
      <c r="AJ22" t="e">
        <f ca="1"/>
        <v>#NAME?</v>
      </c>
      <c r="AK22" s="21" t="e">
        <f ca="1"/>
        <v>#NAME?</v>
      </c>
    </row>
    <row r="23" spans="1:37" ht="15" thickBot="1" x14ac:dyDescent="0.4">
      <c r="A23" s="25"/>
      <c r="B23" s="14">
        <v>71</v>
      </c>
      <c r="C23" s="15">
        <v>285</v>
      </c>
      <c r="D23" s="15">
        <v>471</v>
      </c>
      <c r="E23" s="15">
        <v>407</v>
      </c>
      <c r="F23" s="16">
        <v>433</v>
      </c>
      <c r="H23" t="str">
        <f>A18</f>
        <v>Old</v>
      </c>
      <c r="I23" s="42">
        <f>VAR(B18:B24)</f>
        <v>937.61904761904714</v>
      </c>
      <c r="J23" s="43">
        <f>VAR(C18:C24)</f>
        <v>4400.9047619047633</v>
      </c>
      <c r="K23" s="43">
        <f>VAR(D18:D24)</f>
        <v>3550.6190476190532</v>
      </c>
      <c r="L23" s="43">
        <f>VAR(E18:E24)</f>
        <v>2882.9047619047537</v>
      </c>
      <c r="M23" s="44">
        <f>VAR(F18:F24)</f>
        <v>3680.3333333333335</v>
      </c>
      <c r="N23">
        <f>VAR(B18:F24)</f>
        <v>15415.070588235292</v>
      </c>
      <c r="P23" t="s">
        <v>167</v>
      </c>
      <c r="T23" t="s">
        <v>158</v>
      </c>
      <c r="U23">
        <v>0.05</v>
      </c>
      <c r="Y23" s="25" t="s">
        <v>21</v>
      </c>
      <c r="Z23" s="15">
        <v>65</v>
      </c>
      <c r="AA23" s="15">
        <v>207</v>
      </c>
      <c r="AB23" s="15">
        <v>341</v>
      </c>
      <c r="AC23" s="15">
        <v>382</v>
      </c>
      <c r="AD23" s="16">
        <v>298</v>
      </c>
      <c r="AF23" t="e">
        <f ca="1"/>
        <v>#NAME?</v>
      </c>
      <c r="AG23" s="13" t="e">
        <f ca="1"/>
        <v>#NAME?</v>
      </c>
      <c r="AH23" t="e">
        <f ca="1"/>
        <v>#NAME?</v>
      </c>
      <c r="AI23" t="e">
        <f ca="1"/>
        <v>#NAME?</v>
      </c>
      <c r="AJ23" t="e">
        <f ca="1"/>
        <v>#NAME?</v>
      </c>
      <c r="AK23" s="21" t="e">
        <f ca="1"/>
        <v>#NAME?</v>
      </c>
    </row>
    <row r="24" spans="1:37" ht="15" thickTop="1" x14ac:dyDescent="0.35">
      <c r="A24" s="31"/>
      <c r="B24" s="28">
        <v>108</v>
      </c>
      <c r="C24" s="29">
        <v>247</v>
      </c>
      <c r="D24" s="29">
        <v>317</v>
      </c>
      <c r="E24" s="29">
        <v>307</v>
      </c>
      <c r="F24" s="30">
        <v>324</v>
      </c>
      <c r="I24">
        <f>VAR(B4:B24)</f>
        <v>6605.0904761904767</v>
      </c>
      <c r="J24">
        <f>VAR(C4:C24)</f>
        <v>6896.0904761904731</v>
      </c>
      <c r="K24">
        <f>VAR(D4:D24)</f>
        <v>4884.5476190476211</v>
      </c>
      <c r="L24">
        <f>VAR(E4:E24)</f>
        <v>4733.361904761894</v>
      </c>
      <c r="M24">
        <f>VAR(F4:F24)</f>
        <v>5458.0619047618939</v>
      </c>
      <c r="N24">
        <f>VAR(B4:F24)</f>
        <v>15359.071428571424</v>
      </c>
      <c r="P24" s="19" t="s">
        <v>165</v>
      </c>
      <c r="Q24" s="19" t="s">
        <v>25</v>
      </c>
      <c r="R24" s="19" t="s">
        <v>26</v>
      </c>
      <c r="S24" s="19" t="s">
        <v>27</v>
      </c>
      <c r="T24" s="19" t="s">
        <v>32</v>
      </c>
      <c r="U24" s="19" t="s">
        <v>159</v>
      </c>
      <c r="V24" s="19" t="s">
        <v>34</v>
      </c>
      <c r="Y24" s="31" t="s">
        <v>39</v>
      </c>
      <c r="Z24" s="29">
        <v>71</v>
      </c>
      <c r="AA24" s="29">
        <v>211</v>
      </c>
      <c r="AB24" s="29">
        <v>356</v>
      </c>
      <c r="AC24" s="29">
        <v>380</v>
      </c>
      <c r="AD24" s="30">
        <v>305</v>
      </c>
      <c r="AF24" t="e">
        <f ca="1"/>
        <v>#NAME?</v>
      </c>
      <c r="AG24" s="22" t="e">
        <f ca="1"/>
        <v>#NAME?</v>
      </c>
      <c r="AH24" s="23" t="e">
        <f ca="1"/>
        <v>#NAME?</v>
      </c>
      <c r="AI24" s="23" t="e">
        <f ca="1"/>
        <v>#NAME?</v>
      </c>
      <c r="AJ24" s="23" t="e">
        <f ca="1"/>
        <v>#NAME?</v>
      </c>
      <c r="AK24" s="24" t="e">
        <f ca="1"/>
        <v>#NAME?</v>
      </c>
    </row>
    <row r="25" spans="1:37" x14ac:dyDescent="0.35">
      <c r="P25" t="s">
        <v>58</v>
      </c>
      <c r="Q25">
        <f>Q11</f>
        <v>1025800.3809523809</v>
      </c>
      <c r="R25" t="e">
        <f ca="1">R11*I$27</f>
        <v>#NAME?</v>
      </c>
      <c r="S25" t="e">
        <f ca="1">Q25/R25</f>
        <v>#NAME?</v>
      </c>
      <c r="T25" t="e">
        <f ca="1">S25/S27</f>
        <v>#NAME?</v>
      </c>
      <c r="U25" t="e">
        <f ca="1">F_DIST_RT(T25,R25,R27)</f>
        <v>#NAME?</v>
      </c>
      <c r="V25" t="e">
        <f ca="1">Q25/(Q25+Q27)</f>
        <v>#NAME?</v>
      </c>
    </row>
    <row r="26" spans="1:37" x14ac:dyDescent="0.35">
      <c r="H26" t="s">
        <v>168</v>
      </c>
      <c r="I26" s="49" t="e">
        <f ca="1">GGEpsilon(B4:F24,R8+1)</f>
        <v>#NAME?</v>
      </c>
      <c r="P26" t="s">
        <v>47</v>
      </c>
      <c r="Q26" t="e">
        <f ca="1">Q12</f>
        <v>#NAME?</v>
      </c>
      <c r="R26" t="e">
        <f ca="1">R12*I$27</f>
        <v>#NAME?</v>
      </c>
      <c r="S26" t="e">
        <f ca="1">Q26/R26</f>
        <v>#NAME?</v>
      </c>
      <c r="T26" t="e">
        <f ca="1">S26/S27</f>
        <v>#NAME?</v>
      </c>
      <c r="U26" t="e">
        <f ca="1">F_DIST_RT(T26,R26,R27)</f>
        <v>#NAME?</v>
      </c>
      <c r="V26" t="e">
        <f ca="1">Q26/(Q26+Q27)</f>
        <v>#NAME?</v>
      </c>
    </row>
    <row r="27" spans="1:37" x14ac:dyDescent="0.35">
      <c r="H27" t="s">
        <v>169</v>
      </c>
      <c r="I27" s="50" t="e">
        <f ca="1">HFEpsilon(B4:F24,R8+1)</f>
        <v>#NAME?</v>
      </c>
      <c r="P27" t="s">
        <v>71</v>
      </c>
      <c r="Q27" t="e">
        <f ca="1">Q13</f>
        <v>#NAME?</v>
      </c>
      <c r="R27" t="e">
        <f ca="1">R13*I$27</f>
        <v>#NAME?</v>
      </c>
      <c r="S27" t="e">
        <f ca="1">Q27/R27</f>
        <v>#NAME?</v>
      </c>
    </row>
    <row r="28" spans="1:37" x14ac:dyDescent="0.35">
      <c r="P28" s="48"/>
      <c r="Q28" s="48"/>
      <c r="R28" s="48"/>
      <c r="S28" s="48"/>
      <c r="T28" s="48"/>
      <c r="U28" s="48"/>
      <c r="V28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2024-07-12T10:31:01Z</dcterms:created>
  <dcterms:modified xsi:type="dcterms:W3CDTF">2024-07-12T10:34:45Z</dcterms:modified>
</cp:coreProperties>
</file>