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CDB40EE9-E135-4004-992D-18B42463152B}" xr6:coauthVersionLast="47" xr6:coauthVersionMax="47" xr10:uidLastSave="{00000000-0000-0000-0000-000000000000}"/>
  <bookViews>
    <workbookView xWindow="-110" yWindow="-110" windowWidth="19420" windowHeight="10300" xr2:uid="{5C907CD7-8DDB-4269-A546-409F8C541651}"/>
  </bookViews>
  <sheets>
    <sheet name="Title" sheetId="4" r:id="rId1"/>
    <sheet name="CMH" sheetId="1" r:id="rId2"/>
    <sheet name="CMH 1" sheetId="2" r:id="rId3"/>
    <sheet name="CMH 2" sheetId="3" r:id="rId4"/>
  </sheets>
  <externalReferences>
    <externalReference r:id="rId5"/>
  </externalReferences>
  <definedNames>
    <definedName name="r_0">[1]Sheet17!$A$3:$A$264</definedName>
    <definedName name="r_1">[1]Sheet17!$B$3:$B$264</definedName>
    <definedName name="r_2">[1]Sheet17!$C$3:$C$264</definedName>
    <definedName name="r_3">[1]Sheet17!$D$3:$D$264</definedName>
    <definedName name="r_4">[1]Sheet17!$E$3:$E$264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3" l="1"/>
  <c r="E7" i="3"/>
  <c r="D7" i="3"/>
  <c r="C7" i="3"/>
  <c r="B7" i="3"/>
  <c r="F7" i="3" s="1"/>
  <c r="I6" i="3"/>
  <c r="F6" i="3"/>
  <c r="O7" i="3"/>
  <c r="N7" i="3"/>
  <c r="O6" i="3"/>
  <c r="O5" i="3"/>
  <c r="N5" i="3"/>
  <c r="N5" i="3" a="1"/>
  <c r="N6" i="3" s="1"/>
  <c r="K5" i="3" a="1"/>
  <c r="L9" i="3" s="1"/>
  <c r="I5" i="3"/>
  <c r="H5" i="3" a="1"/>
  <c r="H7" i="3" s="1"/>
  <c r="F5" i="3"/>
  <c r="F4" i="3"/>
  <c r="I45" i="2"/>
  <c r="I44" i="2"/>
  <c r="C30" i="2"/>
  <c r="B30" i="2"/>
  <c r="L29" i="2"/>
  <c r="B29" i="2"/>
  <c r="Q28" i="2" a="1"/>
  <c r="R30" i="2" s="1"/>
  <c r="E28" i="2"/>
  <c r="C18" i="2"/>
  <c r="E17" i="2"/>
  <c r="E30" i="2" s="1"/>
  <c r="D17" i="2"/>
  <c r="D30" i="2" s="1"/>
  <c r="C17" i="2"/>
  <c r="B17" i="2"/>
  <c r="E16" i="2"/>
  <c r="E18" i="2" s="1"/>
  <c r="D16" i="2"/>
  <c r="D29" i="2" s="1"/>
  <c r="C16" i="2"/>
  <c r="B16" i="2"/>
  <c r="F15" i="2"/>
  <c r="E15" i="2"/>
  <c r="D15" i="2"/>
  <c r="D28" i="2" s="1"/>
  <c r="C15" i="2"/>
  <c r="K15" i="2" s="1"/>
  <c r="B15" i="2"/>
  <c r="J15" i="2" s="1"/>
  <c r="E7" i="2"/>
  <c r="D7" i="2"/>
  <c r="F7" i="2" s="1"/>
  <c r="C7" i="2"/>
  <c r="B7" i="2"/>
  <c r="F6" i="2"/>
  <c r="L6" i="2" s="1"/>
  <c r="L7" i="2" s="1"/>
  <c r="L5" i="2"/>
  <c r="K5" i="2"/>
  <c r="M5" i="2" s="1"/>
  <c r="I5" i="2"/>
  <c r="F5" i="2"/>
  <c r="H5" i="2" s="1"/>
  <c r="T4" i="2" a="1"/>
  <c r="T7" i="2" s="1"/>
  <c r="Q4" i="2" a="1"/>
  <c r="Q5" i="2" s="1"/>
  <c r="M4" i="2"/>
  <c r="L4" i="2"/>
  <c r="K4" i="2"/>
  <c r="I4" i="2"/>
  <c r="H4" i="2"/>
  <c r="F4" i="2"/>
  <c r="E10" i="1"/>
  <c r="D10" i="1"/>
  <c r="Q7" i="2" l="1"/>
  <c r="R28" i="2"/>
  <c r="Q29" i="2"/>
  <c r="R29" i="2"/>
  <c r="K6" i="3"/>
  <c r="K8" i="3"/>
  <c r="L8" i="3"/>
  <c r="D31" i="2"/>
  <c r="B36" i="2" s="1"/>
  <c r="J16" i="2"/>
  <c r="I16" i="2"/>
  <c r="I30" i="2"/>
  <c r="R5" i="2"/>
  <c r="T8" i="2"/>
  <c r="F30" i="2"/>
  <c r="Q6" i="2"/>
  <c r="C29" i="2"/>
  <c r="F29" i="2" s="1"/>
  <c r="H30" i="2"/>
  <c r="K5" i="3"/>
  <c r="R6" i="2"/>
  <c r="L5" i="3"/>
  <c r="E29" i="2"/>
  <c r="E31" i="2" s="1"/>
  <c r="B37" i="2" s="1"/>
  <c r="R7" i="2"/>
  <c r="L6" i="3"/>
  <c r="Q8" i="2"/>
  <c r="K7" i="3"/>
  <c r="R8" i="2"/>
  <c r="B18" i="2"/>
  <c r="F18" i="2" s="1"/>
  <c r="Q28" i="2"/>
  <c r="L7" i="3"/>
  <c r="T4" i="2"/>
  <c r="H6" i="2"/>
  <c r="H7" i="2" s="1"/>
  <c r="H15" i="2"/>
  <c r="F16" i="2"/>
  <c r="K16" i="2" s="1"/>
  <c r="D18" i="2"/>
  <c r="H5" i="3"/>
  <c r="Q4" i="2"/>
  <c r="T5" i="2"/>
  <c r="I6" i="2"/>
  <c r="I7" i="2" s="1"/>
  <c r="I15" i="2"/>
  <c r="H16" i="2"/>
  <c r="F17" i="2"/>
  <c r="I17" i="2" s="1"/>
  <c r="B28" i="2"/>
  <c r="H6" i="3"/>
  <c r="K9" i="3"/>
  <c r="R4" i="2"/>
  <c r="T6" i="2"/>
  <c r="K6" i="2"/>
  <c r="C28" i="2"/>
  <c r="Q30" i="2"/>
  <c r="L9" i="2" l="1"/>
  <c r="L10" i="2" s="1"/>
  <c r="I9" i="2"/>
  <c r="I10" i="2" s="1"/>
  <c r="O17" i="2"/>
  <c r="K18" i="2"/>
  <c r="J18" i="2"/>
  <c r="B31" i="2"/>
  <c r="I28" i="2"/>
  <c r="H28" i="2"/>
  <c r="F28" i="2"/>
  <c r="H17" i="2"/>
  <c r="M16" i="2"/>
  <c r="L16" i="2"/>
  <c r="H29" i="2"/>
  <c r="I29" i="2"/>
  <c r="J17" i="2"/>
  <c r="N17" i="2" s="1"/>
  <c r="O15" i="2"/>
  <c r="N15" i="2"/>
  <c r="C31" i="2"/>
  <c r="A37" i="2" s="1"/>
  <c r="F39" i="2" s="1"/>
  <c r="K7" i="2"/>
  <c r="M6" i="2"/>
  <c r="O16" i="2"/>
  <c r="N16" i="2"/>
  <c r="E40" i="2"/>
  <c r="K17" i="2"/>
  <c r="M15" i="2"/>
  <c r="L15" i="2"/>
  <c r="M17" i="2" l="1"/>
  <c r="L17" i="2"/>
  <c r="M7" i="2"/>
  <c r="L20" i="2"/>
  <c r="A36" i="2"/>
  <c r="F31" i="2"/>
  <c r="N18" i="2"/>
  <c r="O18" i="2"/>
  <c r="L18" i="2"/>
  <c r="I20" i="2" s="1"/>
  <c r="M18" i="2"/>
  <c r="I31" i="2"/>
  <c r="H31" i="2"/>
  <c r="L28" i="2" s="1"/>
  <c r="L30" i="2" s="1"/>
  <c r="L23" i="2" l="1"/>
  <c r="L22" i="2"/>
  <c r="N44" i="2"/>
  <c r="N45" i="2" s="1"/>
  <c r="D40" i="2"/>
  <c r="F38" i="2"/>
  <c r="J40" i="2"/>
  <c r="I40" i="2"/>
  <c r="K40" i="2" s="1"/>
  <c r="K45" i="2" l="1"/>
  <c r="L45" i="2" s="1"/>
  <c r="J45" i="2"/>
  <c r="K44" i="2"/>
  <c r="L44" i="2" s="1"/>
  <c r="J44" i="2"/>
  <c r="D38" i="2" a="1"/>
  <c r="F40" i="2"/>
  <c r="H40" i="2" s="1"/>
  <c r="M44" i="2" l="1"/>
  <c r="M45" i="2"/>
  <c r="D39" i="2"/>
  <c r="E38" i="2"/>
  <c r="D38" i="2"/>
  <c r="E39" i="2"/>
</calcChain>
</file>

<file path=xl/sharedStrings.xml><?xml version="1.0" encoding="utf-8"?>
<sst xmlns="http://schemas.openxmlformats.org/spreadsheetml/2006/main" count="112" uniqueCount="72">
  <si>
    <t>CMH Test</t>
  </si>
  <si>
    <t>Polution</t>
  </si>
  <si>
    <t>Smoke</t>
  </si>
  <si>
    <t>Cancer</t>
  </si>
  <si>
    <t>No Cancer</t>
  </si>
  <si>
    <t>Low</t>
  </si>
  <si>
    <t>Cig</t>
  </si>
  <si>
    <t>Elec</t>
  </si>
  <si>
    <t>Medium</t>
  </si>
  <si>
    <t>High</t>
  </si>
  <si>
    <t>CMHTest</t>
  </si>
  <si>
    <t>no Yates</t>
  </si>
  <si>
    <t>a</t>
  </si>
  <si>
    <t>b</t>
  </si>
  <si>
    <t>c</t>
  </si>
  <si>
    <t>d</t>
  </si>
  <si>
    <t>n</t>
  </si>
  <si>
    <t>e</t>
  </si>
  <si>
    <t>s</t>
  </si>
  <si>
    <t>ad/n</t>
  </si>
  <si>
    <t>bc/n</t>
  </si>
  <si>
    <t>OR</t>
  </si>
  <si>
    <t>L</t>
  </si>
  <si>
    <t>M</t>
  </si>
  <si>
    <t>H</t>
  </si>
  <si>
    <t>χ2 (Yates)</t>
  </si>
  <si>
    <t>χ2</t>
  </si>
  <si>
    <t>p-value</t>
  </si>
  <si>
    <t>Confidence Interval</t>
  </si>
  <si>
    <t>t</t>
  </si>
  <si>
    <t>u</t>
  </si>
  <si>
    <t>v</t>
  </si>
  <si>
    <t>w</t>
  </si>
  <si>
    <t>tv</t>
  </si>
  <si>
    <t>tw</t>
  </si>
  <si>
    <t>uv</t>
  </si>
  <si>
    <t>uw</t>
  </si>
  <si>
    <t>q</t>
  </si>
  <si>
    <t>r</t>
  </si>
  <si>
    <t>alpha</t>
  </si>
  <si>
    <t>lower</t>
  </si>
  <si>
    <t>upper</t>
  </si>
  <si>
    <t>Heterogenity Test</t>
  </si>
  <si>
    <t>WoolfTest</t>
  </si>
  <si>
    <t>p</t>
  </si>
  <si>
    <t>W</t>
  </si>
  <si>
    <t>df</t>
  </si>
  <si>
    <t>Chi-square independence test</t>
  </si>
  <si>
    <t>Expected Values</t>
  </si>
  <si>
    <t>Chi-Square Test</t>
  </si>
  <si>
    <t>SUMMARY</t>
  </si>
  <si>
    <t>Alpha</t>
  </si>
  <si>
    <t>Count</t>
  </si>
  <si>
    <t>Rows</t>
  </si>
  <si>
    <t>Cols</t>
  </si>
  <si>
    <t>CHI-SQUARE</t>
  </si>
  <si>
    <t xml:space="preserve"> </t>
  </si>
  <si>
    <t>chi-sq</t>
  </si>
  <si>
    <t>x-crit</t>
  </si>
  <si>
    <t>sig</t>
  </si>
  <si>
    <t>Cramer V</t>
  </si>
  <si>
    <t>Odds Ratio</t>
  </si>
  <si>
    <t>Pearson's</t>
  </si>
  <si>
    <t>Max likelihood</t>
  </si>
  <si>
    <t>Cochran-Mantel-Haenzsel Test</t>
  </si>
  <si>
    <t>Odds Ratios</t>
  </si>
  <si>
    <t>Woolf Test</t>
  </si>
  <si>
    <t>yates</t>
  </si>
  <si>
    <t>Real Statistics Using Excel</t>
  </si>
  <si>
    <t>Updated</t>
  </si>
  <si>
    <t>Copyright © 2013 - 2024 Charles Zaiontz</t>
  </si>
  <si>
    <t>CMH Example and Analysis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</si>
</sst>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11" xfId="0" applyBorder="1"/>
    <xf numFmtId="0" fontId="2" fillId="0" borderId="0" xfId="0" applyFont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3" fillId="0" borderId="17" xfId="0" applyFont="1" applyBorder="1" applyAlignment="1">
      <alignment horizontal="center"/>
    </xf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15" fontId="0" fillId="0" borderId="0" xfId="0" applyNumberFormat="1"/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E7903-8AFC-48AC-9782-430DE179A111}"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68</v>
      </c>
    </row>
    <row r="2" spans="1:13" x14ac:dyDescent="0.35">
      <c r="A2" t="s">
        <v>71</v>
      </c>
    </row>
    <row r="4" spans="1:13" x14ac:dyDescent="0.35">
      <c r="A4" t="s">
        <v>69</v>
      </c>
      <c r="B4" s="36">
        <v>45479</v>
      </c>
    </row>
    <row r="6" spans="1:13" x14ac:dyDescent="0.35">
      <c r="A6" s="37" t="s">
        <v>70</v>
      </c>
    </row>
    <row r="10" spans="1:13" ht="18.5" x14ac:dyDescent="0.45">
      <c r="M10" s="3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47BC5-EA98-424A-9065-6341BB71A2A3}">
  <dimension ref="A1:E10"/>
  <sheetViews>
    <sheetView workbookViewId="0"/>
  </sheetViews>
  <sheetFormatPr defaultRowHeight="14.5" x14ac:dyDescent="0.35"/>
  <cols>
    <col min="1" max="1" width="4.26953125" customWidth="1"/>
    <col min="4" max="5" width="10" customWidth="1"/>
  </cols>
  <sheetData>
    <row r="1" spans="1:5" x14ac:dyDescent="0.35">
      <c r="A1" s="1" t="s">
        <v>0</v>
      </c>
    </row>
    <row r="3" spans="1:5" x14ac:dyDescent="0.35">
      <c r="B3" s="2" t="s">
        <v>1</v>
      </c>
      <c r="C3" s="2" t="s">
        <v>2</v>
      </c>
      <c r="D3" s="2" t="s">
        <v>3</v>
      </c>
      <c r="E3" s="2" t="s">
        <v>4</v>
      </c>
    </row>
    <row r="4" spans="1:5" x14ac:dyDescent="0.35">
      <c r="B4" s="3" t="s">
        <v>5</v>
      </c>
      <c r="C4" s="4" t="s">
        <v>6</v>
      </c>
      <c r="D4" s="3">
        <v>43</v>
      </c>
      <c r="E4" s="4">
        <v>205</v>
      </c>
    </row>
    <row r="5" spans="1:5" x14ac:dyDescent="0.35">
      <c r="B5" s="5" t="s">
        <v>5</v>
      </c>
      <c r="C5" s="6" t="s">
        <v>7</v>
      </c>
      <c r="D5" s="5">
        <v>7</v>
      </c>
      <c r="E5" s="6">
        <v>65</v>
      </c>
    </row>
    <row r="6" spans="1:5" x14ac:dyDescent="0.35">
      <c r="B6" s="5" t="s">
        <v>8</v>
      </c>
      <c r="C6" s="6" t="s">
        <v>6</v>
      </c>
      <c r="D6" s="5">
        <v>78</v>
      </c>
      <c r="E6" s="6">
        <v>345</v>
      </c>
    </row>
    <row r="7" spans="1:5" x14ac:dyDescent="0.35">
      <c r="B7" s="5" t="s">
        <v>8</v>
      </c>
      <c r="C7" s="6" t="s">
        <v>7</v>
      </c>
      <c r="D7" s="5">
        <v>14</v>
      </c>
      <c r="E7" s="6">
        <v>104</v>
      </c>
    </row>
    <row r="8" spans="1:5" x14ac:dyDescent="0.35">
      <c r="B8" s="5" t="s">
        <v>9</v>
      </c>
      <c r="C8" s="6" t="s">
        <v>6</v>
      </c>
      <c r="D8" s="5">
        <v>33</v>
      </c>
      <c r="E8" s="6">
        <v>113</v>
      </c>
    </row>
    <row r="9" spans="1:5" x14ac:dyDescent="0.35">
      <c r="B9" s="7" t="s">
        <v>9</v>
      </c>
      <c r="C9" s="8" t="s">
        <v>7</v>
      </c>
      <c r="D9" s="7">
        <v>13</v>
      </c>
      <c r="E9" s="8">
        <v>55</v>
      </c>
    </row>
    <row r="10" spans="1:5" x14ac:dyDescent="0.35">
      <c r="D10" s="2">
        <f>SUM(D4:D9)</f>
        <v>188</v>
      </c>
      <c r="E10" s="2">
        <f>SUM(E4:E9)</f>
        <v>887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27A90-5282-4154-84D3-2F13839E33CA}">
  <dimension ref="A1:T46"/>
  <sheetViews>
    <sheetView workbookViewId="0"/>
  </sheetViews>
  <sheetFormatPr defaultRowHeight="14.5" x14ac:dyDescent="0.35"/>
  <cols>
    <col min="1" max="6" width="6.1796875" customWidth="1"/>
    <col min="7" max="7" width="4.453125" customWidth="1"/>
    <col min="10" max="10" width="9.1796875" customWidth="1"/>
    <col min="17" max="17" width="9.81640625" customWidth="1"/>
    <col min="19" max="19" width="4.1796875" customWidth="1"/>
  </cols>
  <sheetData>
    <row r="1" spans="1:20" x14ac:dyDescent="0.35">
      <c r="A1" s="1" t="s">
        <v>0</v>
      </c>
    </row>
    <row r="2" spans="1:20" x14ac:dyDescent="0.35">
      <c r="R2" t="s">
        <v>10</v>
      </c>
      <c r="T2" t="s">
        <v>11</v>
      </c>
    </row>
    <row r="3" spans="1:20" x14ac:dyDescent="0.35">
      <c r="B3" s="2" t="s">
        <v>12</v>
      </c>
      <c r="C3" s="2" t="s">
        <v>13</v>
      </c>
      <c r="D3" s="2" t="s">
        <v>14</v>
      </c>
      <c r="E3" s="2" t="s">
        <v>15</v>
      </c>
      <c r="F3" s="2" t="s">
        <v>16</v>
      </c>
      <c r="H3" s="2" t="s">
        <v>17</v>
      </c>
      <c r="I3" s="2" t="s">
        <v>18</v>
      </c>
      <c r="K3" s="2" t="s">
        <v>19</v>
      </c>
      <c r="L3" s="2" t="s">
        <v>20</v>
      </c>
      <c r="M3" s="2" t="s">
        <v>21</v>
      </c>
    </row>
    <row r="4" spans="1:20" x14ac:dyDescent="0.35">
      <c r="A4" s="2" t="s">
        <v>22</v>
      </c>
      <c r="B4" s="3">
        <v>43</v>
      </c>
      <c r="C4" s="9">
        <v>205</v>
      </c>
      <c r="D4" s="9">
        <v>7</v>
      </c>
      <c r="E4" s="4">
        <v>65</v>
      </c>
      <c r="F4" s="2">
        <f>SUM(B4:E4)</f>
        <v>320</v>
      </c>
      <c r="H4" s="10">
        <f>(B4+C4)*(B4+D4)/F4</f>
        <v>38.75</v>
      </c>
      <c r="I4" s="11">
        <f>(B4+C4)*(B4+D4)*(C4+E4)*(D4+E4)/(F4^2*(F4-1))</f>
        <v>7.3795062695924765</v>
      </c>
      <c r="K4" s="10">
        <f>B4*E4/F4</f>
        <v>8.734375</v>
      </c>
      <c r="L4" s="12">
        <f>C4*D4/F4</f>
        <v>4.484375</v>
      </c>
      <c r="M4" s="11">
        <f>K4/L4</f>
        <v>1.9477351916376306</v>
      </c>
      <c r="Q4" t="e">
        <f t="array" aca="1" ref="Q4:R8" ca="1">CMHTEST(B4:E6,TRUE)</f>
        <v>#NAME?</v>
      </c>
      <c r="R4" s="13" t="e">
        <f ca="1"/>
        <v>#NAME?</v>
      </c>
      <c r="T4" s="13" t="e">
        <f t="array" aca="1" ref="T4:T8" ca="1">CMHTEST(B4:E6,,FALSE)</f>
        <v>#NAME?</v>
      </c>
    </row>
    <row r="5" spans="1:20" x14ac:dyDescent="0.35">
      <c r="A5" s="2" t="s">
        <v>23</v>
      </c>
      <c r="B5" s="5">
        <v>78</v>
      </c>
      <c r="C5" s="2">
        <v>345</v>
      </c>
      <c r="D5" s="2">
        <v>14</v>
      </c>
      <c r="E5" s="6">
        <v>104</v>
      </c>
      <c r="F5" s="2">
        <f>SUM(B5:E5)</f>
        <v>541</v>
      </c>
      <c r="H5" s="16">
        <f>(B5+C5)*(B5+D5)/F5</f>
        <v>71.93345656192237</v>
      </c>
      <c r="I5" s="17">
        <f>(B5+C5)*(B5+D5)*(C5+E5)*(D5+E5)/(F5^2*(F5-1))</f>
        <v>13.045726006585099</v>
      </c>
      <c r="K5" s="16">
        <f>B5*E5/F5</f>
        <v>14.99445471349353</v>
      </c>
      <c r="L5">
        <f>C5*D5/F5</f>
        <v>8.9279112754158962</v>
      </c>
      <c r="M5" s="17">
        <f>K5/L5</f>
        <v>1.6795031055900622</v>
      </c>
      <c r="Q5" t="e">
        <f ca="1"/>
        <v>#NAME?</v>
      </c>
      <c r="R5" s="14" t="e">
        <f ca="1"/>
        <v>#NAME?</v>
      </c>
      <c r="T5" s="14" t="e">
        <f ca="1"/>
        <v>#NAME?</v>
      </c>
    </row>
    <row r="6" spans="1:20" x14ac:dyDescent="0.35">
      <c r="A6" s="2" t="s">
        <v>24</v>
      </c>
      <c r="B6" s="7">
        <v>33</v>
      </c>
      <c r="C6" s="18">
        <v>113</v>
      </c>
      <c r="D6" s="18">
        <v>13</v>
      </c>
      <c r="E6" s="8">
        <v>55</v>
      </c>
      <c r="F6" s="2">
        <f>SUM(B6:E6)</f>
        <v>214</v>
      </c>
      <c r="H6" s="19">
        <f>(B6+C6)*(B6+D6)/F6</f>
        <v>31.383177570093459</v>
      </c>
      <c r="I6" s="20">
        <f>(B6+C6)*(B6+D6)*(C6+E6)*(D6+E6)/(F6^2*(F6-1))</f>
        <v>7.8654166241224095</v>
      </c>
      <c r="K6" s="19">
        <f>B6*E6/F6</f>
        <v>8.4813084112149539</v>
      </c>
      <c r="L6" s="21">
        <f>C6*D6/F6</f>
        <v>6.8644859813084116</v>
      </c>
      <c r="M6" s="20">
        <f>K6/L6</f>
        <v>1.2355343771272975</v>
      </c>
      <c r="Q6" t="e">
        <f ca="1"/>
        <v>#NAME?</v>
      </c>
      <c r="R6" s="14" t="e">
        <f ca="1"/>
        <v>#NAME?</v>
      </c>
      <c r="T6" s="14" t="e">
        <f ca="1"/>
        <v>#NAME?</v>
      </c>
    </row>
    <row r="7" spans="1:20" x14ac:dyDescent="0.35">
      <c r="B7" s="2">
        <f>SUM(B4:B6)</f>
        <v>154</v>
      </c>
      <c r="C7" s="2">
        <f>SUM(C4:C6)</f>
        <v>663</v>
      </c>
      <c r="D7" s="2">
        <f>SUM(D4:D6)</f>
        <v>34</v>
      </c>
      <c r="E7" s="2">
        <f>SUM(E4:E6)</f>
        <v>224</v>
      </c>
      <c r="F7" s="2">
        <f>SUM(B7:E7)</f>
        <v>1075</v>
      </c>
      <c r="H7">
        <f>SUM(H4:H6)</f>
        <v>142.06663413201582</v>
      </c>
      <c r="I7">
        <f>SUM(I4:I6)</f>
        <v>28.290648900299985</v>
      </c>
      <c r="K7">
        <f>SUM(K4:K6)</f>
        <v>32.210138124708486</v>
      </c>
      <c r="L7">
        <f>SUM(L4:L6)</f>
        <v>20.276772256724307</v>
      </c>
      <c r="M7">
        <f>K7/L7</f>
        <v>1.5885239384698797</v>
      </c>
      <c r="Q7" t="e">
        <f ca="1"/>
        <v>#NAME?</v>
      </c>
      <c r="R7" s="14" t="e">
        <f ca="1"/>
        <v>#NAME?</v>
      </c>
      <c r="T7" s="14" t="e">
        <f ca="1"/>
        <v>#NAME?</v>
      </c>
    </row>
    <row r="8" spans="1:20" x14ac:dyDescent="0.35">
      <c r="Q8" t="e">
        <f ca="1"/>
        <v>#NAME?</v>
      </c>
      <c r="R8" s="15" t="e">
        <f ca="1"/>
        <v>#NAME?</v>
      </c>
      <c r="T8" s="15" t="e">
        <f ca="1"/>
        <v>#NAME?</v>
      </c>
    </row>
    <row r="9" spans="1:20" x14ac:dyDescent="0.35">
      <c r="H9" s="22" t="s">
        <v>25</v>
      </c>
      <c r="I9" s="13">
        <f>(ABS(B7-H7)-0.5)^2/I7</f>
        <v>4.6206736201727594</v>
      </c>
      <c r="K9" s="22" t="s">
        <v>26</v>
      </c>
      <c r="L9" s="13">
        <f>(B7-H7)^2/I7</f>
        <v>5.0336498622221342</v>
      </c>
    </row>
    <row r="10" spans="1:20" x14ac:dyDescent="0.35">
      <c r="H10" t="s">
        <v>27</v>
      </c>
      <c r="I10" s="15">
        <f>_xlfn.CHISQ.DIST.RT(I9,1)</f>
        <v>3.1588830377669311E-2</v>
      </c>
      <c r="K10" t="s">
        <v>27</v>
      </c>
      <c r="L10" s="15">
        <f>_xlfn.CHISQ.DIST.RT(L9,1)</f>
        <v>2.4859456706264979E-2</v>
      </c>
    </row>
    <row r="12" spans="1:20" x14ac:dyDescent="0.35">
      <c r="A12" t="s">
        <v>28</v>
      </c>
    </row>
    <row r="14" spans="1:20" x14ac:dyDescent="0.35">
      <c r="A14" s="2"/>
      <c r="B14" s="2" t="s">
        <v>12</v>
      </c>
      <c r="C14" s="2" t="s">
        <v>13</v>
      </c>
      <c r="D14" s="2" t="s">
        <v>14</v>
      </c>
      <c r="E14" s="2" t="s">
        <v>15</v>
      </c>
      <c r="F14" s="2" t="s">
        <v>16</v>
      </c>
      <c r="H14" s="2" t="s">
        <v>29</v>
      </c>
      <c r="I14" s="2" t="s">
        <v>30</v>
      </c>
      <c r="J14" s="2" t="s">
        <v>31</v>
      </c>
      <c r="K14" s="2" t="s">
        <v>32</v>
      </c>
      <c r="L14" s="2" t="s">
        <v>33</v>
      </c>
      <c r="M14" s="2" t="s">
        <v>34</v>
      </c>
      <c r="N14" s="2" t="s">
        <v>35</v>
      </c>
      <c r="O14" s="2" t="s">
        <v>36</v>
      </c>
    </row>
    <row r="15" spans="1:20" x14ac:dyDescent="0.35">
      <c r="A15" s="2" t="s">
        <v>22</v>
      </c>
      <c r="B15" s="3">
        <f t="shared" ref="B15:E17" si="0">B4</f>
        <v>43</v>
      </c>
      <c r="C15" s="9">
        <f t="shared" si="0"/>
        <v>205</v>
      </c>
      <c r="D15" s="9">
        <f t="shared" si="0"/>
        <v>7</v>
      </c>
      <c r="E15" s="4">
        <f t="shared" si="0"/>
        <v>65</v>
      </c>
      <c r="F15" s="2">
        <f>SUM(B15:E15)</f>
        <v>320</v>
      </c>
      <c r="H15" s="10">
        <f>(B15+E15)/F15</f>
        <v>0.33750000000000002</v>
      </c>
      <c r="I15" s="12">
        <f>(C15+D15)/F15</f>
        <v>0.66249999999999998</v>
      </c>
      <c r="J15" s="12">
        <f>B15*E15/F15</f>
        <v>8.734375</v>
      </c>
      <c r="K15" s="11">
        <f>C15*D15/F15</f>
        <v>4.484375</v>
      </c>
      <c r="L15" s="10">
        <f>H15*J15</f>
        <v>2.9478515625000004</v>
      </c>
      <c r="M15" s="12">
        <f>H15*K15</f>
        <v>1.5134765625000002</v>
      </c>
      <c r="N15" s="12">
        <f>I15*J15</f>
        <v>5.7865234374999996</v>
      </c>
      <c r="O15" s="11">
        <f>I15*K15</f>
        <v>2.9708984374999998</v>
      </c>
    </row>
    <row r="16" spans="1:20" x14ac:dyDescent="0.35">
      <c r="A16" s="2" t="s">
        <v>23</v>
      </c>
      <c r="B16" s="5">
        <f t="shared" si="0"/>
        <v>78</v>
      </c>
      <c r="C16" s="2">
        <f t="shared" si="0"/>
        <v>345</v>
      </c>
      <c r="D16" s="2">
        <f t="shared" si="0"/>
        <v>14</v>
      </c>
      <c r="E16" s="6">
        <f t="shared" si="0"/>
        <v>104</v>
      </c>
      <c r="F16" s="2">
        <f>SUM(B16:E16)</f>
        <v>541</v>
      </c>
      <c r="H16" s="16">
        <f>(B16+E16)/F16</f>
        <v>0.33641404805914971</v>
      </c>
      <c r="I16">
        <f>(C16+D16)/F16</f>
        <v>0.66358595194085024</v>
      </c>
      <c r="J16">
        <f>B16*E16/F16</f>
        <v>14.99445471349353</v>
      </c>
      <c r="K16" s="17">
        <f>C16*D16/F16</f>
        <v>8.9279112754158962</v>
      </c>
      <c r="L16" s="16">
        <f>H16*J16</f>
        <v>5.0443452086059564</v>
      </c>
      <c r="M16">
        <f>H16*K16</f>
        <v>3.0034747728755877</v>
      </c>
      <c r="N16">
        <f>I16*J16</f>
        <v>9.950109504887573</v>
      </c>
      <c r="O16" s="17">
        <f>I16*K16</f>
        <v>5.9244365025403081</v>
      </c>
    </row>
    <row r="17" spans="1:18" x14ac:dyDescent="0.35">
      <c r="A17" s="2" t="s">
        <v>24</v>
      </c>
      <c r="B17" s="7">
        <f t="shared" si="0"/>
        <v>33</v>
      </c>
      <c r="C17" s="18">
        <f t="shared" si="0"/>
        <v>113</v>
      </c>
      <c r="D17" s="18">
        <f t="shared" si="0"/>
        <v>13</v>
      </c>
      <c r="E17" s="8">
        <f t="shared" si="0"/>
        <v>55</v>
      </c>
      <c r="F17" s="2">
        <f>SUM(B17:E17)</f>
        <v>214</v>
      </c>
      <c r="H17" s="19">
        <f>(B17+E17)/F17</f>
        <v>0.41121495327102803</v>
      </c>
      <c r="I17" s="21">
        <f>(C17+D17)/F17</f>
        <v>0.58878504672897192</v>
      </c>
      <c r="J17" s="21">
        <f>B17*E17/F17</f>
        <v>8.4813084112149539</v>
      </c>
      <c r="K17" s="20">
        <f>C17*D17/F17</f>
        <v>6.8644859813084116</v>
      </c>
      <c r="L17" s="19">
        <f>H17*J17</f>
        <v>3.4876408419949341</v>
      </c>
      <c r="M17" s="21">
        <f>H17*K17</f>
        <v>2.8227792820333653</v>
      </c>
      <c r="N17" s="21">
        <f>I17*J17</f>
        <v>4.993667569220019</v>
      </c>
      <c r="O17" s="20">
        <f>I17*K17</f>
        <v>4.0417066992750454</v>
      </c>
    </row>
    <row r="18" spans="1:18" x14ac:dyDescent="0.35">
      <c r="A18" s="2"/>
      <c r="B18" s="2">
        <f>SUM(B15:B17)</f>
        <v>154</v>
      </c>
      <c r="C18" s="2">
        <f>SUM(C15:C17)</f>
        <v>663</v>
      </c>
      <c r="D18" s="2">
        <f>SUM(D15:D17)</f>
        <v>34</v>
      </c>
      <c r="E18" s="2">
        <f>SUM(E15:E17)</f>
        <v>224</v>
      </c>
      <c r="F18" s="2">
        <f>SUM(B18:E18)</f>
        <v>1075</v>
      </c>
      <c r="J18">
        <f t="shared" ref="J18:O18" si="1">SUM(J15:J17)</f>
        <v>32.210138124708486</v>
      </c>
      <c r="K18">
        <f t="shared" si="1"/>
        <v>20.276772256724307</v>
      </c>
      <c r="L18">
        <f t="shared" si="1"/>
        <v>11.479837613100891</v>
      </c>
      <c r="M18">
        <f t="shared" si="1"/>
        <v>7.3397306174089527</v>
      </c>
      <c r="N18">
        <f t="shared" si="1"/>
        <v>20.730300511607592</v>
      </c>
      <c r="O18">
        <f t="shared" si="1"/>
        <v>12.937041639315353</v>
      </c>
    </row>
    <row r="20" spans="1:18" x14ac:dyDescent="0.35">
      <c r="H20" s="2" t="s">
        <v>37</v>
      </c>
      <c r="I20" s="23">
        <f>SQRT((L18/J18^2+O18/K18^2+(M18+N18)/(J18*K18))/2)</f>
        <v>0.20677185033591811</v>
      </c>
      <c r="K20" t="s">
        <v>38</v>
      </c>
      <c r="L20" s="13">
        <f>K7/L7</f>
        <v>1.5885239384698797</v>
      </c>
    </row>
    <row r="21" spans="1:18" x14ac:dyDescent="0.35">
      <c r="K21" t="s">
        <v>39</v>
      </c>
      <c r="L21" s="14">
        <v>0.05</v>
      </c>
    </row>
    <row r="22" spans="1:18" x14ac:dyDescent="0.35">
      <c r="K22" t="s">
        <v>40</v>
      </c>
      <c r="L22" s="14">
        <f>EXP(LN(L20)-NORMSINV(1-L21/2)*I20)</f>
        <v>1.0592274957022367</v>
      </c>
    </row>
    <row r="23" spans="1:18" x14ac:dyDescent="0.35">
      <c r="K23" t="s">
        <v>41</v>
      </c>
      <c r="L23" s="15">
        <f>EXP(LN(L20)+NORMSINV(1-L21/2)*I20)</f>
        <v>2.3823100451323844</v>
      </c>
    </row>
    <row r="25" spans="1:18" x14ac:dyDescent="0.35">
      <c r="A25" t="s">
        <v>42</v>
      </c>
    </row>
    <row r="26" spans="1:18" x14ac:dyDescent="0.35">
      <c r="R26" t="s">
        <v>43</v>
      </c>
    </row>
    <row r="27" spans="1:18" x14ac:dyDescent="0.35">
      <c r="A27" s="2"/>
      <c r="B27" s="2" t="s">
        <v>12</v>
      </c>
      <c r="C27" s="2" t="s">
        <v>13</v>
      </c>
      <c r="D27" s="2" t="s">
        <v>14</v>
      </c>
      <c r="E27" s="2" t="s">
        <v>15</v>
      </c>
      <c r="F27" s="2" t="s">
        <v>16</v>
      </c>
      <c r="H27" s="2" t="s">
        <v>21</v>
      </c>
      <c r="I27" s="2" t="s">
        <v>44</v>
      </c>
    </row>
    <row r="28" spans="1:18" x14ac:dyDescent="0.35">
      <c r="A28" s="2" t="s">
        <v>22</v>
      </c>
      <c r="B28" s="3">
        <f>B15</f>
        <v>43</v>
      </c>
      <c r="C28" s="9">
        <f>C15</f>
        <v>205</v>
      </c>
      <c r="D28" s="9">
        <f>D15</f>
        <v>7</v>
      </c>
      <c r="E28" s="4">
        <f>E15</f>
        <v>65</v>
      </c>
      <c r="F28" s="2">
        <f>SUM(B28:E28)</f>
        <v>320</v>
      </c>
      <c r="H28" s="10">
        <f>B28*E28/(C28*D28)</f>
        <v>1.9477351916376306</v>
      </c>
      <c r="I28" s="11">
        <f>1/SUMPRODUCT(1/B28:E28)</f>
        <v>5.36550861515411</v>
      </c>
      <c r="K28" t="s">
        <v>45</v>
      </c>
      <c r="L28" s="13">
        <f>SUMPRODUCT(I28:I30,(LN(H28:H30)-LN(H31))^2)</f>
        <v>0.72365730487955071</v>
      </c>
      <c r="Q28" t="e">
        <f t="array" aca="1" ref="Q28:R30" ca="1">WoolfTest(B28:E30,TRUE)</f>
        <v>#NAME?</v>
      </c>
      <c r="R28" s="13" t="e">
        <f ca="1"/>
        <v>#NAME?</v>
      </c>
    </row>
    <row r="29" spans="1:18" x14ac:dyDescent="0.35">
      <c r="A29" s="2" t="s">
        <v>23</v>
      </c>
      <c r="B29" s="5">
        <f t="shared" ref="B29:E30" si="2">B16</f>
        <v>78</v>
      </c>
      <c r="C29" s="2">
        <f t="shared" si="2"/>
        <v>345</v>
      </c>
      <c r="D29" s="2">
        <f t="shared" si="2"/>
        <v>14</v>
      </c>
      <c r="E29" s="6">
        <f t="shared" si="2"/>
        <v>104</v>
      </c>
      <c r="F29" s="2">
        <f>SUM(B29:E29)</f>
        <v>541</v>
      </c>
      <c r="H29" s="16">
        <f>B29*E29/(C29*D29)</f>
        <v>1.6795031055900622</v>
      </c>
      <c r="I29" s="17">
        <f>1/SUMPRODUCT(1/B29:E29)</f>
        <v>10.334526601654117</v>
      </c>
      <c r="K29" t="s">
        <v>46</v>
      </c>
      <c r="L29" s="14">
        <f>COUNTA(A28:A30)-1</f>
        <v>2</v>
      </c>
      <c r="Q29" t="e">
        <f ca="1"/>
        <v>#NAME?</v>
      </c>
      <c r="R29" s="14" t="e">
        <f ca="1"/>
        <v>#NAME?</v>
      </c>
    </row>
    <row r="30" spans="1:18" x14ac:dyDescent="0.35">
      <c r="A30" s="2" t="s">
        <v>24</v>
      </c>
      <c r="B30" s="7">
        <f t="shared" si="2"/>
        <v>33</v>
      </c>
      <c r="C30" s="18">
        <f t="shared" si="2"/>
        <v>113</v>
      </c>
      <c r="D30" s="18">
        <f t="shared" si="2"/>
        <v>13</v>
      </c>
      <c r="E30" s="8">
        <f t="shared" si="2"/>
        <v>55</v>
      </c>
      <c r="F30" s="2">
        <f>SUM(B30:E30)</f>
        <v>214</v>
      </c>
      <c r="H30" s="19">
        <f>B30*E30/(C30*D30)</f>
        <v>1.2355343771272975</v>
      </c>
      <c r="I30" s="20">
        <f>1/SUMPRODUCT(1/B30:E30)</f>
        <v>7.4483744084567638</v>
      </c>
      <c r="K30" t="s">
        <v>27</v>
      </c>
      <c r="L30" s="15">
        <f>CHIDIST(L28,L29)</f>
        <v>0.6964016843487324</v>
      </c>
      <c r="Q30" t="e">
        <f ca="1"/>
        <v>#NAME?</v>
      </c>
      <c r="R30" s="15" t="e">
        <f ca="1"/>
        <v>#NAME?</v>
      </c>
    </row>
    <row r="31" spans="1:18" x14ac:dyDescent="0.35">
      <c r="A31" s="2"/>
      <c r="B31" s="2">
        <f>SUM(B28:B30)</f>
        <v>154</v>
      </c>
      <c r="C31" s="2">
        <f>SUM(C28:C30)</f>
        <v>663</v>
      </c>
      <c r="D31" s="2">
        <f>SUM(D28:D30)</f>
        <v>34</v>
      </c>
      <c r="E31" s="2">
        <f>SUM(E28:E30)</f>
        <v>224</v>
      </c>
      <c r="F31" s="2">
        <f>SUM(B31:E31)</f>
        <v>1075</v>
      </c>
      <c r="H31">
        <f>EXP(SUMPRODUCT(I28:I30,LN(H28:H30))/I31)</f>
        <v>1.5746945835888233</v>
      </c>
      <c r="I31">
        <f>SUM(I28:I30)</f>
        <v>23.148409625264993</v>
      </c>
    </row>
    <row r="34" spans="1:14" x14ac:dyDescent="0.35">
      <c r="A34" t="s">
        <v>47</v>
      </c>
    </row>
    <row r="36" spans="1:14" x14ac:dyDescent="0.35">
      <c r="A36" s="10">
        <f>B31</f>
        <v>154</v>
      </c>
      <c r="B36" s="11">
        <f>D31</f>
        <v>34</v>
      </c>
      <c r="D36" t="s">
        <v>48</v>
      </c>
      <c r="H36" t="s">
        <v>49</v>
      </c>
    </row>
    <row r="37" spans="1:14" x14ac:dyDescent="0.35">
      <c r="A37" s="19">
        <f>C31</f>
        <v>663</v>
      </c>
      <c r="B37" s="20">
        <f>E31</f>
        <v>224</v>
      </c>
    </row>
    <row r="38" spans="1:14" ht="15" thickBot="1" x14ac:dyDescent="0.4">
      <c r="D38" s="24">
        <f t="array" ref="D38:E39">MMULT(F38:F39,D40:E40)/F40</f>
        <v>142.88</v>
      </c>
      <c r="E38" s="25">
        <v>45.12</v>
      </c>
      <c r="F38">
        <f>SUM(A36:B36)</f>
        <v>188</v>
      </c>
      <c r="H38" t="s">
        <v>50</v>
      </c>
      <c r="J38" t="s">
        <v>51</v>
      </c>
      <c r="K38">
        <v>0.05</v>
      </c>
    </row>
    <row r="39" spans="1:14" ht="15" thickTop="1" x14ac:dyDescent="0.35">
      <c r="D39" s="26">
        <v>674.12</v>
      </c>
      <c r="E39" s="27">
        <v>212.88</v>
      </c>
      <c r="F39">
        <f>SUM(A37:B37)</f>
        <v>887</v>
      </c>
      <c r="H39" s="28" t="s">
        <v>52</v>
      </c>
      <c r="I39" s="28" t="s">
        <v>53</v>
      </c>
      <c r="J39" s="28" t="s">
        <v>54</v>
      </c>
      <c r="K39" s="28" t="s">
        <v>46</v>
      </c>
    </row>
    <row r="40" spans="1:14" x14ac:dyDescent="0.35">
      <c r="D40">
        <f>SUM(A36:A37)</f>
        <v>817</v>
      </c>
      <c r="E40">
        <f>SUM(B36:B37)</f>
        <v>258</v>
      </c>
      <c r="F40">
        <f>SUM(F38:F39)</f>
        <v>1075</v>
      </c>
      <c r="H40">
        <f>F40</f>
        <v>1075</v>
      </c>
      <c r="I40">
        <f>COUNT(A36:A37)</f>
        <v>2</v>
      </c>
      <c r="J40">
        <f>COUNT(A36:B36)</f>
        <v>2</v>
      </c>
      <c r="K40">
        <f>(I40-1)*(J40-1)</f>
        <v>1</v>
      </c>
    </row>
    <row r="42" spans="1:14" ht="15" thickBot="1" x14ac:dyDescent="0.4">
      <c r="H42" t="s">
        <v>55</v>
      </c>
    </row>
    <row r="43" spans="1:14" ht="15" thickTop="1" x14ac:dyDescent="0.35">
      <c r="H43" s="28" t="s">
        <v>56</v>
      </c>
      <c r="I43" s="28" t="s">
        <v>57</v>
      </c>
      <c r="J43" s="28" t="s">
        <v>27</v>
      </c>
      <c r="K43" s="28" t="s">
        <v>58</v>
      </c>
      <c r="L43" s="28" t="s">
        <v>59</v>
      </c>
      <c r="M43" s="28" t="s">
        <v>60</v>
      </c>
      <c r="N43" s="28" t="s">
        <v>61</v>
      </c>
    </row>
    <row r="44" spans="1:14" x14ac:dyDescent="0.35">
      <c r="H44" t="s">
        <v>62</v>
      </c>
      <c r="I44" t="e">
        <f ca="1">CHI_STAT2(A36:B37,D38:E39)</f>
        <v>#NAME?</v>
      </c>
      <c r="J44" t="e">
        <f ca="1">CHIDIST(I44,K40)</f>
        <v>#NAME?</v>
      </c>
      <c r="K44">
        <f>CHIINV(K38,K40)</f>
        <v>3.8414588206941236</v>
      </c>
      <c r="L44" s="2" t="e">
        <f ca="1">IF(K44&lt;I44,"yes","no")</f>
        <v>#NAME?</v>
      </c>
      <c r="M44" t="e">
        <f ca="1">SQRT(I44/(H40*(MIN(I40,J40)-1)))</f>
        <v>#NAME?</v>
      </c>
      <c r="N44">
        <f>(A36/B36)/(A37/B37)</f>
        <v>1.5302989974270251</v>
      </c>
    </row>
    <row r="45" spans="1:14" x14ac:dyDescent="0.35">
      <c r="H45" t="s">
        <v>63</v>
      </c>
      <c r="I45" t="e">
        <f ca="1">CHI_MAX2(A36:B37,D38:E39)</f>
        <v>#NAME?</v>
      </c>
      <c r="J45" t="e">
        <f ca="1">CHIDIST(I45,K40)</f>
        <v>#NAME?</v>
      </c>
      <c r="K45">
        <f>CHIINV(K38,K40)</f>
        <v>3.8414588206941236</v>
      </c>
      <c r="L45" s="2" t="e">
        <f ca="1">IF(K45&lt;I45,"yes","no")</f>
        <v>#NAME?</v>
      </c>
      <c r="M45" t="e">
        <f ca="1">SQRT(I45/(H40*(MIN(I40,J40)-1)))</f>
        <v>#NAME?</v>
      </c>
      <c r="N45">
        <f>N44</f>
        <v>1.5302989974270251</v>
      </c>
    </row>
    <row r="46" spans="1:14" x14ac:dyDescent="0.35">
      <c r="H46" s="29"/>
      <c r="I46" s="29"/>
      <c r="J46" s="29"/>
      <c r="K46" s="29"/>
      <c r="L46" s="29"/>
      <c r="M46" s="29"/>
      <c r="N46" s="2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E2CC2-A8A1-471F-9510-EECC183B618D}">
  <dimension ref="A1:O11"/>
  <sheetViews>
    <sheetView workbookViewId="0"/>
  </sheetViews>
  <sheetFormatPr defaultRowHeight="14.5" x14ac:dyDescent="0.35"/>
  <cols>
    <col min="1" max="6" width="5.81640625" customWidth="1"/>
    <col min="10" max="10" width="4.453125" customWidth="1"/>
    <col min="11" max="11" width="9.54296875" customWidth="1"/>
    <col min="13" max="13" width="4.453125" customWidth="1"/>
  </cols>
  <sheetData>
    <row r="1" spans="1:15" x14ac:dyDescent="0.35">
      <c r="A1" s="1" t="s">
        <v>0</v>
      </c>
      <c r="H1" t="s">
        <v>64</v>
      </c>
    </row>
    <row r="3" spans="1:15" x14ac:dyDescent="0.35">
      <c r="B3" s="2" t="s">
        <v>12</v>
      </c>
      <c r="C3" s="2" t="s">
        <v>13</v>
      </c>
      <c r="D3" s="2" t="s">
        <v>14</v>
      </c>
      <c r="E3" s="2" t="s">
        <v>15</v>
      </c>
      <c r="F3" s="2" t="s">
        <v>16</v>
      </c>
      <c r="H3" t="s">
        <v>65</v>
      </c>
      <c r="K3" t="s">
        <v>0</v>
      </c>
      <c r="N3" t="s">
        <v>66</v>
      </c>
    </row>
    <row r="4" spans="1:15" x14ac:dyDescent="0.35">
      <c r="A4" s="2" t="s">
        <v>22</v>
      </c>
      <c r="B4" s="30">
        <v>43</v>
      </c>
      <c r="C4" s="31">
        <v>205</v>
      </c>
      <c r="D4" s="31">
        <v>7</v>
      </c>
      <c r="E4" s="32">
        <v>65</v>
      </c>
      <c r="F4" s="2">
        <f>SUM(B4:E4)</f>
        <v>320</v>
      </c>
    </row>
    <row r="5" spans="1:15" x14ac:dyDescent="0.35">
      <c r="A5" s="2" t="s">
        <v>23</v>
      </c>
      <c r="B5" s="5">
        <v>78</v>
      </c>
      <c r="C5" s="2">
        <v>345</v>
      </c>
      <c r="D5" s="2">
        <v>14</v>
      </c>
      <c r="E5" s="6">
        <v>104</v>
      </c>
      <c r="F5" s="2">
        <f>SUM(B5:E5)</f>
        <v>541</v>
      </c>
      <c r="H5" t="str">
        <f t="array" ref="H5:H7">A4:A6</f>
        <v>L</v>
      </c>
      <c r="I5" s="33">
        <f>B4*E4/(C4*D4)</f>
        <v>1.9477351916376306</v>
      </c>
      <c r="K5" t="e">
        <f t="array" aca="1" ref="K5:L9" ca="1">CMHTEST(B4:E6,TRUE,L11,L10)</f>
        <v>#NAME?</v>
      </c>
      <c r="L5" s="33" t="e">
        <f ca="1"/>
        <v>#NAME?</v>
      </c>
      <c r="N5" t="e">
        <f t="array" aca="1" ref="N5:O7" ca="1">WoolfTest(B4:E6,TRUE)</f>
        <v>#NAME?</v>
      </c>
      <c r="O5" s="33" t="e">
        <f ca="1"/>
        <v>#NAME?</v>
      </c>
    </row>
    <row r="6" spans="1:15" x14ac:dyDescent="0.35">
      <c r="A6" s="2" t="s">
        <v>24</v>
      </c>
      <c r="B6" s="7">
        <v>33</v>
      </c>
      <c r="C6" s="18">
        <v>113</v>
      </c>
      <c r="D6" s="18">
        <v>13</v>
      </c>
      <c r="E6" s="8">
        <v>55</v>
      </c>
      <c r="F6" s="2">
        <f>SUM(B6:E6)</f>
        <v>214</v>
      </c>
      <c r="H6" t="str">
        <v>M</v>
      </c>
      <c r="I6" s="34">
        <f>B5*E5/(C5*D5)</f>
        <v>1.6795031055900622</v>
      </c>
      <c r="K6" t="e">
        <f ca="1"/>
        <v>#NAME?</v>
      </c>
      <c r="L6" s="34" t="e">
        <f ca="1"/>
        <v>#NAME?</v>
      </c>
      <c r="N6" t="e">
        <f ca="1"/>
        <v>#NAME?</v>
      </c>
      <c r="O6" s="34" t="e">
        <f ca="1"/>
        <v>#NAME?</v>
      </c>
    </row>
    <row r="7" spans="1:15" x14ac:dyDescent="0.35">
      <c r="B7" s="2">
        <f>SUM(B4:B6)</f>
        <v>154</v>
      </c>
      <c r="C7" s="2">
        <f>SUM(C4:C6)</f>
        <v>663</v>
      </c>
      <c r="D7" s="2">
        <f>SUM(D4:D6)</f>
        <v>34</v>
      </c>
      <c r="E7" s="2">
        <f>SUM(E4:E6)</f>
        <v>224</v>
      </c>
      <c r="F7" s="2">
        <f>SUM(B7:E7)</f>
        <v>1075</v>
      </c>
      <c r="H7" t="str">
        <v>H</v>
      </c>
      <c r="I7" s="35">
        <f>B6*E6/(C6*D6)</f>
        <v>1.2355343771272975</v>
      </c>
      <c r="K7" t="e">
        <f ca="1"/>
        <v>#NAME?</v>
      </c>
      <c r="L7" s="34" t="e">
        <f ca="1"/>
        <v>#NAME?</v>
      </c>
      <c r="N7" t="e">
        <f ca="1"/>
        <v>#NAME?</v>
      </c>
      <c r="O7" s="35" t="e">
        <f ca="1"/>
        <v>#NAME?</v>
      </c>
    </row>
    <row r="8" spans="1:15" x14ac:dyDescent="0.35">
      <c r="K8" t="e">
        <f ca="1"/>
        <v>#NAME?</v>
      </c>
      <c r="L8" s="34" t="e">
        <f ca="1"/>
        <v>#NAME?</v>
      </c>
    </row>
    <row r="9" spans="1:15" x14ac:dyDescent="0.35">
      <c r="K9" t="e">
        <f ca="1"/>
        <v>#NAME?</v>
      </c>
      <c r="L9" s="34" t="e">
        <f ca="1"/>
        <v>#NAME?</v>
      </c>
    </row>
    <row r="10" spans="1:15" x14ac:dyDescent="0.35">
      <c r="K10" t="s">
        <v>39</v>
      </c>
      <c r="L10" s="34">
        <v>0.05</v>
      </c>
    </row>
    <row r="11" spans="1:15" x14ac:dyDescent="0.35">
      <c r="K11" t="s">
        <v>67</v>
      </c>
      <c r="L11" s="35" t="b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CMH</vt:lpstr>
      <vt:lpstr>CMH 1</vt:lpstr>
      <vt:lpstr>CMH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2024-07-06T12:52:28Z</dcterms:created>
  <dcterms:modified xsi:type="dcterms:W3CDTF">2024-07-06T12:55:12Z</dcterms:modified>
</cp:coreProperties>
</file>