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2" documentId="8_{A5653BBF-E3C2-4F0E-B4E2-5ECDE2C21571}" xr6:coauthVersionLast="47" xr6:coauthVersionMax="47" xr10:uidLastSave="{9988C31D-F486-450B-B8F2-349DA1E89209}"/>
  <bookViews>
    <workbookView xWindow="-110" yWindow="-110" windowWidth="19420" windowHeight="10300" xr2:uid="{960AB6C1-AF7A-4D60-8873-6D72D39779C9}"/>
  </bookViews>
  <sheets>
    <sheet name="Title" sheetId="5" r:id="rId1"/>
    <sheet name="Contrast 1" sheetId="1" r:id="rId2"/>
    <sheet name="Contrast 2" sheetId="2" r:id="rId3"/>
    <sheet name="Contrast 2a" sheetId="3" r:id="rId4"/>
    <sheet name="Contrast 3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8" i="1"/>
  <c r="P7" i="1"/>
  <c r="P6" i="1"/>
  <c r="P5" i="1"/>
  <c r="S105" i="4"/>
  <c r="P99" i="4"/>
  <c r="P94" i="4"/>
  <c r="S94" i="4" s="1"/>
  <c r="Q93" i="4"/>
  <c r="R93" i="4" s="1"/>
  <c r="P92" i="4"/>
  <c r="S92" i="4" s="1"/>
  <c r="P73" i="4"/>
  <c r="S73" i="4" s="1"/>
  <c r="Q72" i="4"/>
  <c r="R72" i="4" s="1"/>
  <c r="S71" i="4"/>
  <c r="P71" i="4"/>
  <c r="S59" i="4"/>
  <c r="S52" i="4"/>
  <c r="Q52" i="4"/>
  <c r="R52" i="4" s="1"/>
  <c r="P52" i="4"/>
  <c r="Q51" i="4"/>
  <c r="R51" i="4" s="1"/>
  <c r="P50" i="4"/>
  <c r="S50" i="4" s="1"/>
  <c r="Q49" i="4"/>
  <c r="R49" i="4" s="1"/>
  <c r="P49" i="4"/>
  <c r="S49" i="4" s="1"/>
  <c r="S42" i="4"/>
  <c r="P36" i="4"/>
  <c r="P31" i="4"/>
  <c r="S31" i="4" s="1"/>
  <c r="R30" i="4"/>
  <c r="Q30" i="4"/>
  <c r="P29" i="4"/>
  <c r="S29" i="4" s="1"/>
  <c r="H18" i="4"/>
  <c r="H16" i="4" s="1"/>
  <c r="G18" i="4"/>
  <c r="I18" i="4" s="1"/>
  <c r="H15" i="4"/>
  <c r="Q10" i="4"/>
  <c r="R10" i="4" s="1"/>
  <c r="P10" i="4"/>
  <c r="S10" i="4" s="1"/>
  <c r="K10" i="4"/>
  <c r="J10" i="4"/>
  <c r="I10" i="4"/>
  <c r="H10" i="4"/>
  <c r="G10" i="4"/>
  <c r="Q9" i="4"/>
  <c r="R9" i="4" s="1"/>
  <c r="K9" i="4"/>
  <c r="J9" i="4"/>
  <c r="I9" i="4"/>
  <c r="H9" i="4"/>
  <c r="G9" i="4"/>
  <c r="P8" i="4"/>
  <c r="S8" i="4" s="1"/>
  <c r="K8" i="4"/>
  <c r="J8" i="4"/>
  <c r="I8" i="4"/>
  <c r="H8" i="4"/>
  <c r="G8" i="4"/>
  <c r="K7" i="4"/>
  <c r="G16" i="4" s="1"/>
  <c r="I16" i="4" s="1"/>
  <c r="J7" i="4"/>
  <c r="I7" i="4"/>
  <c r="P28" i="4" s="1"/>
  <c r="S28" i="4" s="1"/>
  <c r="H7" i="4"/>
  <c r="G7" i="4"/>
  <c r="H16" i="3"/>
  <c r="G16" i="3"/>
  <c r="K10" i="3"/>
  <c r="J10" i="3"/>
  <c r="I10" i="3"/>
  <c r="H10" i="3"/>
  <c r="G10" i="3"/>
  <c r="F10" i="3"/>
  <c r="R9" i="3"/>
  <c r="Q9" i="3"/>
  <c r="K9" i="3"/>
  <c r="J9" i="3"/>
  <c r="I9" i="3"/>
  <c r="H9" i="3"/>
  <c r="G9" i="3"/>
  <c r="F9" i="3"/>
  <c r="T8" i="3"/>
  <c r="S8" i="3"/>
  <c r="S9" i="3" s="1"/>
  <c r="R12" i="3" s="1"/>
  <c r="R8" i="3"/>
  <c r="P8" i="3"/>
  <c r="K8" i="3"/>
  <c r="J8" i="3"/>
  <c r="I8" i="3"/>
  <c r="H8" i="3"/>
  <c r="G8" i="3"/>
  <c r="F8" i="3"/>
  <c r="T7" i="3"/>
  <c r="T9" i="3" s="1"/>
  <c r="S7" i="3"/>
  <c r="R7" i="3"/>
  <c r="P7" i="3"/>
  <c r="K7" i="3"/>
  <c r="J7" i="3"/>
  <c r="I7" i="3"/>
  <c r="H7" i="3"/>
  <c r="G7" i="3"/>
  <c r="F7" i="3"/>
  <c r="T6" i="3"/>
  <c r="S6" i="3"/>
  <c r="R6" i="3"/>
  <c r="P6" i="3"/>
  <c r="T5" i="3"/>
  <c r="S5" i="3"/>
  <c r="R5" i="3"/>
  <c r="P5" i="3"/>
  <c r="Q22" i="2"/>
  <c r="R22" i="2" s="1"/>
  <c r="S20" i="2"/>
  <c r="P20" i="2"/>
  <c r="H16" i="2"/>
  <c r="G16" i="2"/>
  <c r="I16" i="2" s="1"/>
  <c r="H15" i="2"/>
  <c r="P26" i="2" s="1"/>
  <c r="S26" i="2" s="1"/>
  <c r="H14" i="2"/>
  <c r="K10" i="2"/>
  <c r="J10" i="2"/>
  <c r="I10" i="2"/>
  <c r="P22" i="2" s="1"/>
  <c r="S22" i="2" s="1"/>
  <c r="H10" i="2"/>
  <c r="G10" i="2"/>
  <c r="K9" i="2"/>
  <c r="J9" i="2"/>
  <c r="I9" i="2"/>
  <c r="H9" i="2"/>
  <c r="G9" i="2"/>
  <c r="P8" i="2"/>
  <c r="S8" i="2" s="1"/>
  <c r="K8" i="2"/>
  <c r="G15" i="2" s="1"/>
  <c r="I15" i="2" s="1"/>
  <c r="J8" i="2"/>
  <c r="I8" i="2"/>
  <c r="H8" i="2"/>
  <c r="G8" i="2"/>
  <c r="Q7" i="2"/>
  <c r="R7" i="2" s="1"/>
  <c r="K7" i="2"/>
  <c r="J7" i="2"/>
  <c r="I7" i="2"/>
  <c r="P19" i="2" s="1"/>
  <c r="S19" i="2" s="1"/>
  <c r="H7" i="2"/>
  <c r="G7" i="2"/>
  <c r="Q19" i="2" s="1"/>
  <c r="R19" i="2" s="1"/>
  <c r="N9" i="1"/>
  <c r="N7" i="1"/>
  <c r="N6" i="1"/>
  <c r="N5" i="1"/>
  <c r="N8" i="1" s="1"/>
  <c r="N10" i="1" s="1"/>
  <c r="X12" i="3" l="1"/>
  <c r="T12" i="3"/>
  <c r="U12" i="3" s="1"/>
  <c r="P12" i="3"/>
  <c r="Q12" i="3" s="1"/>
  <c r="S23" i="2"/>
  <c r="P40" i="4"/>
  <c r="P44" i="4"/>
  <c r="S44" i="4" s="1"/>
  <c r="P103" i="4"/>
  <c r="P107" i="4"/>
  <c r="S107" i="4" s="1"/>
  <c r="P9" i="4"/>
  <c r="S9" i="4" s="1"/>
  <c r="P72" i="4"/>
  <c r="S72" i="4" s="1"/>
  <c r="Q92" i="4"/>
  <c r="R92" i="4" s="1"/>
  <c r="Q29" i="4"/>
  <c r="R29" i="4" s="1"/>
  <c r="Q50" i="4"/>
  <c r="R50" i="4" s="1"/>
  <c r="R53" i="4" s="1"/>
  <c r="N57" i="4" s="1"/>
  <c r="P15" i="4"/>
  <c r="P78" i="4"/>
  <c r="P51" i="4"/>
  <c r="S51" i="4" s="1"/>
  <c r="S53" i="4" s="1"/>
  <c r="S99" i="4"/>
  <c r="L14" i="2"/>
  <c r="G15" i="4"/>
  <c r="I15" i="4" s="1"/>
  <c r="J15" i="4" s="1"/>
  <c r="K15" i="4" s="1"/>
  <c r="P30" i="4"/>
  <c r="S30" i="4" s="1"/>
  <c r="S32" i="4" s="1"/>
  <c r="P7" i="2"/>
  <c r="S7" i="2" s="1"/>
  <c r="S11" i="2" s="1"/>
  <c r="G15" i="3"/>
  <c r="S63" i="4"/>
  <c r="S80" i="4"/>
  <c r="S84" i="4"/>
  <c r="S21" i="4"/>
  <c r="S17" i="4"/>
  <c r="L15" i="4"/>
  <c r="S101" i="4"/>
  <c r="S103" i="4" s="1"/>
  <c r="S38" i="4"/>
  <c r="S40" i="4" s="1"/>
  <c r="G14" i="2"/>
  <c r="I14" i="2" s="1"/>
  <c r="J14" i="2" s="1"/>
  <c r="K14" i="2" s="1"/>
  <c r="P93" i="4"/>
  <c r="S93" i="4" s="1"/>
  <c r="Q73" i="4"/>
  <c r="R73" i="4" s="1"/>
  <c r="Q94" i="4"/>
  <c r="R94" i="4" s="1"/>
  <c r="Q31" i="4"/>
  <c r="R31" i="4" s="1"/>
  <c r="P14" i="2"/>
  <c r="P7" i="4"/>
  <c r="S7" i="4" s="1"/>
  <c r="P91" i="4"/>
  <c r="S91" i="4" s="1"/>
  <c r="S95" i="4" s="1"/>
  <c r="H14" i="3"/>
  <c r="H15" i="3" s="1"/>
  <c r="S36" i="4"/>
  <c r="I16" i="3"/>
  <c r="G14" i="3"/>
  <c r="P70" i="4"/>
  <c r="S70" i="4" s="1"/>
  <c r="Q20" i="2"/>
  <c r="R20" i="2" s="1"/>
  <c r="R23" i="2" s="1"/>
  <c r="N26" i="2" s="1"/>
  <c r="Q8" i="2"/>
  <c r="R8" i="2" s="1"/>
  <c r="R11" i="2" s="1"/>
  <c r="N14" i="2" s="1"/>
  <c r="Q70" i="4"/>
  <c r="R70" i="4" s="1"/>
  <c r="R74" i="4" s="1"/>
  <c r="N78" i="4" s="1"/>
  <c r="Q7" i="4"/>
  <c r="R7" i="4" s="1"/>
  <c r="R11" i="4" s="1"/>
  <c r="N15" i="4" s="1"/>
  <c r="Q91" i="4"/>
  <c r="R91" i="4" s="1"/>
  <c r="Q28" i="4"/>
  <c r="R28" i="4" s="1"/>
  <c r="Q8" i="4"/>
  <c r="R8" i="4" s="1"/>
  <c r="P57" i="4"/>
  <c r="Q71" i="4"/>
  <c r="R71" i="4" s="1"/>
  <c r="U36" i="4" l="1"/>
  <c r="T36" i="4"/>
  <c r="N19" i="4"/>
  <c r="N23" i="4"/>
  <c r="N82" i="4"/>
  <c r="N86" i="4"/>
  <c r="U61" i="4"/>
  <c r="O57" i="4"/>
  <c r="N61" i="4"/>
  <c r="T61" i="4" s="1"/>
  <c r="N65" i="4"/>
  <c r="O99" i="4"/>
  <c r="U99" i="4"/>
  <c r="V12" i="3"/>
  <c r="S78" i="4"/>
  <c r="P82" i="4"/>
  <c r="S82" i="4" s="1"/>
  <c r="P86" i="4"/>
  <c r="S74" i="4"/>
  <c r="S86" i="4"/>
  <c r="P23" i="4"/>
  <c r="S23" i="4" s="1"/>
  <c r="S15" i="4"/>
  <c r="P19" i="4"/>
  <c r="T26" i="2"/>
  <c r="O26" i="2"/>
  <c r="Q26" i="2" s="1"/>
  <c r="R26" i="2" s="1"/>
  <c r="U26" i="2"/>
  <c r="S12" i="3"/>
  <c r="W12" i="3" s="1"/>
  <c r="Y12" i="3"/>
  <c r="O14" i="2"/>
  <c r="Q14" i="2" s="1"/>
  <c r="R14" i="2" s="1"/>
  <c r="S11" i="4"/>
  <c r="S19" i="4"/>
  <c r="S57" i="4"/>
  <c r="U57" i="4" s="1"/>
  <c r="P61" i="4"/>
  <c r="S61" i="4" s="1"/>
  <c r="P65" i="4"/>
  <c r="S65" i="4" s="1"/>
  <c r="R32" i="4"/>
  <c r="N36" i="4" s="1"/>
  <c r="O36" i="4" s="1"/>
  <c r="L14" i="3"/>
  <c r="I14" i="3"/>
  <c r="R95" i="4"/>
  <c r="N99" i="4" s="1"/>
  <c r="I15" i="3"/>
  <c r="T65" i="4" l="1"/>
  <c r="O44" i="4"/>
  <c r="Q44" i="4" s="1"/>
  <c r="R44" i="4" s="1"/>
  <c r="Q36" i="4"/>
  <c r="R36" i="4" s="1"/>
  <c r="O40" i="4"/>
  <c r="Q40" i="4" s="1"/>
  <c r="R40" i="4" s="1"/>
  <c r="T57" i="4"/>
  <c r="J14" i="3"/>
  <c r="K14" i="3" s="1"/>
  <c r="O107" i="4"/>
  <c r="Q107" i="4" s="1"/>
  <c r="R107" i="4" s="1"/>
  <c r="O103" i="4"/>
  <c r="Q103" i="4" s="1"/>
  <c r="R103" i="4" s="1"/>
  <c r="Q99" i="4"/>
  <c r="R99" i="4" s="1"/>
  <c r="U65" i="4"/>
  <c r="U78" i="4"/>
  <c r="U82" i="4"/>
  <c r="T82" i="4"/>
  <c r="T78" i="4"/>
  <c r="O78" i="4"/>
  <c r="U86" i="4"/>
  <c r="T86" i="4"/>
  <c r="U19" i="4"/>
  <c r="T19" i="4"/>
  <c r="T23" i="4"/>
  <c r="U15" i="4"/>
  <c r="O15" i="4"/>
  <c r="U23" i="4"/>
  <c r="T15" i="4"/>
  <c r="L8" i="3"/>
  <c r="L7" i="3"/>
  <c r="M14" i="3"/>
  <c r="L10" i="3"/>
  <c r="L9" i="3"/>
  <c r="N14" i="3"/>
  <c r="N103" i="4"/>
  <c r="N107" i="4"/>
  <c r="N40" i="4"/>
  <c r="N44" i="4"/>
  <c r="Q57" i="4"/>
  <c r="R57" i="4" s="1"/>
  <c r="O61" i="4"/>
  <c r="Q61" i="4" s="1"/>
  <c r="R61" i="4" s="1"/>
  <c r="O65" i="4"/>
  <c r="Q65" i="4" s="1"/>
  <c r="R65" i="4" s="1"/>
  <c r="T99" i="4"/>
  <c r="T40" i="4" l="1"/>
  <c r="U40" i="4"/>
  <c r="M9" i="3"/>
  <c r="N9" i="3"/>
  <c r="Q15" i="4"/>
  <c r="R15" i="4" s="1"/>
  <c r="O23" i="4"/>
  <c r="Q23" i="4" s="1"/>
  <c r="R23" i="4" s="1"/>
  <c r="O19" i="4"/>
  <c r="Q19" i="4" s="1"/>
  <c r="R19" i="4" s="1"/>
  <c r="O86" i="4"/>
  <c r="Q86" i="4" s="1"/>
  <c r="R86" i="4" s="1"/>
  <c r="Q78" i="4"/>
  <c r="R78" i="4" s="1"/>
  <c r="O82" i="4"/>
  <c r="Q82" i="4" s="1"/>
  <c r="R82" i="4" s="1"/>
  <c r="U44" i="4"/>
  <c r="T44" i="4"/>
  <c r="U107" i="4"/>
  <c r="T107" i="4"/>
  <c r="T103" i="4"/>
  <c r="U103" i="4"/>
  <c r="M10" i="3"/>
  <c r="N10" i="3"/>
  <c r="M7" i="3"/>
  <c r="N7" i="3"/>
  <c r="M8" i="3"/>
  <c r="N8" i="3"/>
</calcChain>
</file>

<file path=xl/sharedStrings.xml><?xml version="1.0" encoding="utf-8"?>
<sst xmlns="http://schemas.openxmlformats.org/spreadsheetml/2006/main" count="392" uniqueCount="84">
  <si>
    <t>Single Factor ANOVA with Pairwise Comparison</t>
  </si>
  <si>
    <t>Method 1</t>
  </si>
  <si>
    <t>Method 2</t>
  </si>
  <si>
    <t>Method 3</t>
  </si>
  <si>
    <t>Method 4</t>
  </si>
  <si>
    <t>Anova: Single Factor</t>
  </si>
  <si>
    <t>SUMMARY</t>
  </si>
  <si>
    <r>
      <t>x̄</t>
    </r>
    <r>
      <rPr>
        <vertAlign val="sub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 xml:space="preserve"> - x̄</t>
    </r>
    <r>
      <rPr>
        <vertAlign val="subscript"/>
        <sz val="11"/>
        <color theme="1"/>
        <rFont val="Aptos Narrow"/>
        <family val="2"/>
        <scheme val="minor"/>
      </rPr>
      <t>2</t>
    </r>
  </si>
  <si>
    <t>Groups</t>
  </si>
  <si>
    <t>Count</t>
  </si>
  <si>
    <t>Sum</t>
  </si>
  <si>
    <t>Average</t>
  </si>
  <si>
    <t>Variance</t>
  </si>
  <si>
    <r>
      <t>MS</t>
    </r>
    <r>
      <rPr>
        <vertAlign val="subscript"/>
        <sz val="11"/>
        <color theme="1"/>
        <rFont val="Aptos Narrow"/>
        <family val="2"/>
        <scheme val="minor"/>
      </rPr>
      <t>W</t>
    </r>
  </si>
  <si>
    <t>s.e.</t>
  </si>
  <si>
    <t>t</t>
  </si>
  <si>
    <r>
      <t>df</t>
    </r>
    <r>
      <rPr>
        <vertAlign val="subscript"/>
        <sz val="11"/>
        <color theme="1"/>
        <rFont val="Aptos Narrow"/>
        <family val="2"/>
        <scheme val="minor"/>
      </rPr>
      <t>W</t>
    </r>
  </si>
  <si>
    <t>p-value</t>
  </si>
  <si>
    <t>=T.DIST.2T(ABS(N8),N9)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</si>
  <si>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</si>
  <si>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</si>
  <si>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</si>
  <si>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</si>
  <si>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</si>
  <si>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</si>
  <si>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</si>
  <si>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</si>
  <si>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</si>
  <si>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</si>
  <si>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</si>
  <si>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Single Factor ANOVA with Contrasts</t>
  </si>
  <si>
    <t>ANOVA: Single Factor</t>
  </si>
  <si>
    <t>Planned comparisons</t>
  </si>
  <si>
    <t>DESCRIPTION</t>
  </si>
  <si>
    <t xml:space="preserve">CONTRAST </t>
  </si>
  <si>
    <t>Alpha</t>
  </si>
  <si>
    <t>Mean</t>
  </si>
  <si>
    <t>c</t>
  </si>
  <si>
    <t>mean</t>
  </si>
  <si>
    <t>n</t>
  </si>
  <si>
    <t>c^2/n</t>
  </si>
  <si>
    <t>cx̄</t>
  </si>
  <si>
    <t>T-TEST</t>
  </si>
  <si>
    <t>Sources</t>
  </si>
  <si>
    <t>P value</t>
  </si>
  <si>
    <t xml:space="preserve"> F crit</t>
  </si>
  <si>
    <t>std error</t>
  </si>
  <si>
    <t>t-stat</t>
  </si>
  <si>
    <t>sig</t>
  </si>
  <si>
    <t>CONTRAST</t>
  </si>
  <si>
    <t>t-crit</t>
  </si>
  <si>
    <t>lower</t>
  </si>
  <si>
    <t>upper</t>
  </si>
  <si>
    <t>group</t>
  </si>
  <si>
    <t>contrast</t>
  </si>
  <si>
    <t>size</t>
  </si>
  <si>
    <t>ss</t>
  </si>
  <si>
    <t>Group</t>
  </si>
  <si>
    <t>Std Err</t>
  </si>
  <si>
    <t>Lower</t>
  </si>
  <si>
    <t>Upper</t>
  </si>
  <si>
    <t>T TEST</t>
  </si>
  <si>
    <t>std err</t>
  </si>
  <si>
    <t>Cohen d</t>
  </si>
  <si>
    <t>effect r</t>
  </si>
  <si>
    <t>Eta-sq</t>
  </si>
  <si>
    <t>RMSSE</t>
  </si>
  <si>
    <t>Omega Sq</t>
  </si>
  <si>
    <t>Men</t>
  </si>
  <si>
    <t>Women</t>
  </si>
  <si>
    <t>Drug</t>
  </si>
  <si>
    <t>Control</t>
  </si>
  <si>
    <t>Men Drug</t>
  </si>
  <si>
    <t>Men Control</t>
  </si>
  <si>
    <t>Women Drug</t>
  </si>
  <si>
    <t>Wom Drug</t>
  </si>
  <si>
    <t>Women Control</t>
  </si>
  <si>
    <t>Wom Control</t>
  </si>
  <si>
    <t>Bonferroni</t>
  </si>
  <si>
    <t xml:space="preserve">Dunn/Sidák </t>
  </si>
  <si>
    <t>Real Statistics Using Excel</t>
  </si>
  <si>
    <t>Updated</t>
  </si>
  <si>
    <t>Copyright © 2013 - 2024 Charles Zaiontz</t>
  </si>
  <si>
    <t>Planned Comparisons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</si>
</sst>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quotePrefix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0" xfId="0" applyFill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/>
    <xf numFmtId="15" fontId="0" fillId="0" borderId="0" xfId="0" applyNumberForma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9E97-37CF-48A2-BB75-2CDD9522B35F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80</v>
      </c>
    </row>
    <row r="2" spans="1:13" x14ac:dyDescent="0.35">
      <c r="A2" t="s">
        <v>83</v>
      </c>
    </row>
    <row r="4" spans="1:13" x14ac:dyDescent="0.35">
      <c r="A4" t="s">
        <v>81</v>
      </c>
      <c r="B4" s="28">
        <v>45472</v>
      </c>
    </row>
    <row r="6" spans="1:13" x14ac:dyDescent="0.35">
      <c r="A6" s="29" t="s">
        <v>82</v>
      </c>
    </row>
    <row r="10" spans="1:13" ht="18.5" x14ac:dyDescent="0.45">
      <c r="M10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3907-589E-4F28-B42A-CBAF69D1B418}">
  <dimension ref="A1:P18"/>
  <sheetViews>
    <sheetView workbookViewId="0"/>
  </sheetViews>
  <sheetFormatPr defaultRowHeight="14.5" x14ac:dyDescent="0.35"/>
  <cols>
    <col min="5" max="5" width="4.54296875" customWidth="1"/>
    <col min="6" max="6" width="16.81640625" customWidth="1"/>
    <col min="7" max="7" width="8" customWidth="1"/>
    <col min="8" max="8" width="7.453125" customWidth="1"/>
    <col min="9" max="9" width="8.26953125" customWidth="1"/>
    <col min="11" max="12" width="8.26953125" customWidth="1"/>
    <col min="14" max="14" width="8.54296875" customWidth="1"/>
    <col min="15" max="15" width="4.81640625" customWidth="1"/>
    <col min="16" max="16" width="22" customWidth="1"/>
    <col min="17" max="17" width="9.7265625" customWidth="1"/>
    <col min="18" max="18" width="0" hidden="1" customWidth="1"/>
    <col min="19" max="19" width="5.1796875" customWidth="1"/>
  </cols>
  <sheetData>
    <row r="1" spans="1:16" x14ac:dyDescent="0.35">
      <c r="A1" s="1" t="s">
        <v>0</v>
      </c>
    </row>
    <row r="2" spans="1:16" x14ac:dyDescent="0.35">
      <c r="A2" s="2"/>
      <c r="B2" s="2"/>
    </row>
    <row r="3" spans="1:16" x14ac:dyDescent="0.35">
      <c r="A3" s="3" t="s">
        <v>1</v>
      </c>
      <c r="B3" s="3" t="s">
        <v>2</v>
      </c>
      <c r="C3" s="3" t="s">
        <v>3</v>
      </c>
      <c r="D3" s="3" t="s">
        <v>4</v>
      </c>
      <c r="F3" t="s">
        <v>5</v>
      </c>
    </row>
    <row r="4" spans="1:16" x14ac:dyDescent="0.35">
      <c r="A4" s="3">
        <v>51</v>
      </c>
      <c r="B4" s="3">
        <v>82</v>
      </c>
      <c r="C4" s="3">
        <v>79</v>
      </c>
      <c r="D4" s="3">
        <v>85</v>
      </c>
    </row>
    <row r="5" spans="1:16" ht="17" thickBot="1" x14ac:dyDescent="0.5">
      <c r="A5" s="2">
        <v>87</v>
      </c>
      <c r="B5" s="2">
        <v>91</v>
      </c>
      <c r="C5" s="2">
        <v>84</v>
      </c>
      <c r="D5" s="2">
        <v>80</v>
      </c>
      <c r="F5" t="s">
        <v>6</v>
      </c>
      <c r="M5" s="4" t="s">
        <v>7</v>
      </c>
      <c r="N5" s="5">
        <f>I7-I8</f>
        <v>-16.589285714285715</v>
      </c>
      <c r="P5" s="6" t="e">
        <f ca="1">FTEXT(N5)</f>
        <v>#NAME?</v>
      </c>
    </row>
    <row r="6" spans="1:16" ht="16.5" x14ac:dyDescent="0.45">
      <c r="A6" s="2">
        <v>50</v>
      </c>
      <c r="B6" s="2">
        <v>92</v>
      </c>
      <c r="C6" s="2">
        <v>74</v>
      </c>
      <c r="D6" s="2">
        <v>65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M6" s="4" t="s">
        <v>13</v>
      </c>
      <c r="N6" s="8">
        <f>I16</f>
        <v>177.16547619047617</v>
      </c>
      <c r="P6" s="6" t="e">
        <f ca="1">FTEXT(N6)</f>
        <v>#NAME?</v>
      </c>
    </row>
    <row r="7" spans="1:16" x14ac:dyDescent="0.35">
      <c r="A7" s="2">
        <v>48</v>
      </c>
      <c r="B7" s="2">
        <v>80</v>
      </c>
      <c r="C7" s="2">
        <v>98</v>
      </c>
      <c r="D7" s="2">
        <v>71</v>
      </c>
      <c r="F7" t="s">
        <v>1</v>
      </c>
      <c r="G7">
        <v>7</v>
      </c>
      <c r="H7">
        <v>429</v>
      </c>
      <c r="I7">
        <v>61.285714285714285</v>
      </c>
      <c r="J7">
        <v>242.23809523809541</v>
      </c>
      <c r="M7" s="4" t="s">
        <v>14</v>
      </c>
      <c r="N7" s="8">
        <f>SQRT(N6*(1/G7+1/G8))</f>
        <v>6.888761736720622</v>
      </c>
      <c r="P7" s="6" t="e">
        <f ca="1">FTEXT(N7)</f>
        <v>#NAME?</v>
      </c>
    </row>
    <row r="8" spans="1:16" x14ac:dyDescent="0.35">
      <c r="A8" s="2">
        <v>79</v>
      </c>
      <c r="B8" s="2">
        <v>52</v>
      </c>
      <c r="C8" s="2">
        <v>63</v>
      </c>
      <c r="D8" s="2">
        <v>67</v>
      </c>
      <c r="F8" t="s">
        <v>2</v>
      </c>
      <c r="G8">
        <v>8</v>
      </c>
      <c r="H8">
        <v>623</v>
      </c>
      <c r="I8">
        <v>77.875</v>
      </c>
      <c r="J8">
        <v>157.55357142857142</v>
      </c>
      <c r="M8" s="4" t="s">
        <v>15</v>
      </c>
      <c r="N8" s="8">
        <f>N5/N7</f>
        <v>-2.4081665687254561</v>
      </c>
      <c r="P8" s="6" t="e">
        <f ca="1">FTEXT(N8)</f>
        <v>#NAME?</v>
      </c>
    </row>
    <row r="9" spans="1:16" ht="16.5" x14ac:dyDescent="0.45">
      <c r="A9" s="2">
        <v>61</v>
      </c>
      <c r="B9" s="2">
        <v>79</v>
      </c>
      <c r="C9" s="2">
        <v>83</v>
      </c>
      <c r="D9" s="2">
        <v>51</v>
      </c>
      <c r="F9" t="s">
        <v>3</v>
      </c>
      <c r="G9">
        <v>8</v>
      </c>
      <c r="H9">
        <v>624</v>
      </c>
      <c r="I9">
        <v>78</v>
      </c>
      <c r="J9">
        <v>164.57142857142858</v>
      </c>
      <c r="M9" s="4" t="s">
        <v>16</v>
      </c>
      <c r="N9" s="8">
        <f>H16</f>
        <v>25</v>
      </c>
      <c r="P9" s="6" t="e">
        <f ca="1">FTEXT(N9)</f>
        <v>#NAME?</v>
      </c>
    </row>
    <row r="10" spans="1:16" ht="15" thickBot="1" x14ac:dyDescent="0.4">
      <c r="A10" s="2">
        <v>53</v>
      </c>
      <c r="B10" s="2">
        <v>73</v>
      </c>
      <c r="C10" s="2">
        <v>85</v>
      </c>
      <c r="D10" s="2"/>
      <c r="F10" s="9" t="s">
        <v>4</v>
      </c>
      <c r="G10" s="9">
        <v>6</v>
      </c>
      <c r="H10" s="9">
        <v>419</v>
      </c>
      <c r="I10" s="9">
        <v>69.833333333333329</v>
      </c>
      <c r="J10" s="9">
        <v>144.16666666666643</v>
      </c>
      <c r="M10" s="4" t="s">
        <v>17</v>
      </c>
      <c r="N10" s="10">
        <f>TDIST(ABS(N8),N9,2)</f>
        <v>2.3734329328748829E-2</v>
      </c>
      <c r="P10" s="6" t="s">
        <v>18</v>
      </c>
    </row>
    <row r="11" spans="1:16" x14ac:dyDescent="0.35">
      <c r="A11" s="11"/>
      <c r="B11" s="11">
        <v>74</v>
      </c>
      <c r="C11" s="11">
        <v>58</v>
      </c>
      <c r="D11" s="11"/>
    </row>
    <row r="12" spans="1:16" x14ac:dyDescent="0.35">
      <c r="A12" s="2"/>
      <c r="B12" s="2"/>
    </row>
    <row r="13" spans="1:16" ht="15" thickBot="1" x14ac:dyDescent="0.4">
      <c r="A13" s="2"/>
      <c r="B13" s="2"/>
      <c r="F13" t="s">
        <v>19</v>
      </c>
    </row>
    <row r="14" spans="1:16" x14ac:dyDescent="0.35">
      <c r="A14" s="2"/>
      <c r="B14" s="2"/>
      <c r="F14" s="7" t="s">
        <v>20</v>
      </c>
      <c r="G14" s="7" t="s">
        <v>21</v>
      </c>
      <c r="H14" s="7" t="s">
        <v>22</v>
      </c>
      <c r="I14" s="7" t="s">
        <v>23</v>
      </c>
      <c r="J14" s="7" t="s">
        <v>24</v>
      </c>
      <c r="K14" s="7" t="s">
        <v>25</v>
      </c>
      <c r="L14" s="7" t="s">
        <v>26</v>
      </c>
    </row>
    <row r="15" spans="1:16" x14ac:dyDescent="0.35">
      <c r="A15" s="2"/>
      <c r="B15" s="2"/>
      <c r="F15" t="s">
        <v>27</v>
      </c>
      <c r="G15">
        <v>1394.1734400656824</v>
      </c>
      <c r="H15">
        <v>3</v>
      </c>
      <c r="I15">
        <v>464.72448002189412</v>
      </c>
      <c r="J15">
        <v>2.6231097052015611</v>
      </c>
      <c r="K15">
        <v>7.2760576413978123E-2</v>
      </c>
      <c r="L15">
        <v>2.9912409095499513</v>
      </c>
    </row>
    <row r="16" spans="1:16" x14ac:dyDescent="0.35">
      <c r="A16" s="2"/>
      <c r="B16" s="2"/>
      <c r="F16" t="s">
        <v>28</v>
      </c>
      <c r="G16">
        <v>4429.1369047619046</v>
      </c>
      <c r="H16">
        <v>25</v>
      </c>
      <c r="I16">
        <v>177.16547619047617</v>
      </c>
    </row>
    <row r="17" spans="1:12" x14ac:dyDescent="0.35">
      <c r="A17" s="2"/>
      <c r="B17" s="2"/>
    </row>
    <row r="18" spans="1:12" ht="15" thickBot="1" x14ac:dyDescent="0.4">
      <c r="F18" s="9" t="s">
        <v>29</v>
      </c>
      <c r="G18" s="9">
        <v>5823.310344827587</v>
      </c>
      <c r="H18" s="9">
        <v>28</v>
      </c>
      <c r="I18" s="9"/>
      <c r="J18" s="9"/>
      <c r="K18" s="9"/>
      <c r="L1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02AC-6C62-422C-87CB-5E9EECF5F6EE}">
  <dimension ref="A1:U26"/>
  <sheetViews>
    <sheetView workbookViewId="0"/>
  </sheetViews>
  <sheetFormatPr defaultRowHeight="14.5" x14ac:dyDescent="0.35"/>
  <cols>
    <col min="5" max="5" width="4.54296875" customWidth="1"/>
    <col min="6" max="6" width="16.26953125" customWidth="1"/>
    <col min="7" max="7" width="8" customWidth="1"/>
    <col min="8" max="8" width="7.453125" customWidth="1"/>
    <col min="9" max="9" width="8.26953125" customWidth="1"/>
    <col min="11" max="12" width="8.26953125" customWidth="1"/>
    <col min="13" max="13" width="6.7265625" customWidth="1"/>
    <col min="14" max="14" width="9.453125" customWidth="1"/>
    <col min="15" max="15" width="7.7265625" customWidth="1"/>
    <col min="17" max="17" width="7.54296875" customWidth="1"/>
  </cols>
  <sheetData>
    <row r="1" spans="1:19" x14ac:dyDescent="0.35">
      <c r="A1" s="1" t="s">
        <v>30</v>
      </c>
    </row>
    <row r="2" spans="1:19" x14ac:dyDescent="0.35">
      <c r="A2" s="2"/>
      <c r="B2" s="2"/>
    </row>
    <row r="3" spans="1:19" x14ac:dyDescent="0.35">
      <c r="A3" s="3" t="s">
        <v>1</v>
      </c>
      <c r="B3" s="3" t="s">
        <v>2</v>
      </c>
      <c r="C3" s="3" t="s">
        <v>3</v>
      </c>
      <c r="D3" s="3" t="s">
        <v>4</v>
      </c>
      <c r="F3" t="s">
        <v>31</v>
      </c>
      <c r="N3" t="s">
        <v>32</v>
      </c>
    </row>
    <row r="4" spans="1:19" x14ac:dyDescent="0.35">
      <c r="A4" s="3">
        <v>51</v>
      </c>
      <c r="B4" s="3">
        <v>82</v>
      </c>
      <c r="C4" s="3">
        <v>79</v>
      </c>
      <c r="D4" s="3">
        <v>85</v>
      </c>
    </row>
    <row r="5" spans="1:19" ht="15" thickBot="1" x14ac:dyDescent="0.4">
      <c r="A5" s="2">
        <v>87</v>
      </c>
      <c r="B5" s="2">
        <v>91</v>
      </c>
      <c r="C5" s="2">
        <v>84</v>
      </c>
      <c r="D5" s="2">
        <v>80</v>
      </c>
      <c r="F5" t="s">
        <v>33</v>
      </c>
      <c r="N5" t="s">
        <v>34</v>
      </c>
      <c r="R5" s="2" t="s">
        <v>35</v>
      </c>
      <c r="S5" s="2">
        <v>0.05</v>
      </c>
    </row>
    <row r="6" spans="1:19" ht="15" thickTop="1" x14ac:dyDescent="0.35">
      <c r="A6" s="2">
        <v>50</v>
      </c>
      <c r="B6" s="2">
        <v>92</v>
      </c>
      <c r="C6" s="2">
        <v>74</v>
      </c>
      <c r="D6" s="2">
        <v>65</v>
      </c>
      <c r="F6" s="12" t="s">
        <v>8</v>
      </c>
      <c r="G6" s="12" t="s">
        <v>9</v>
      </c>
      <c r="H6" s="12" t="s">
        <v>10</v>
      </c>
      <c r="I6" s="12" t="s">
        <v>36</v>
      </c>
      <c r="J6" s="12" t="s">
        <v>12</v>
      </c>
      <c r="K6" s="12" t="s">
        <v>21</v>
      </c>
      <c r="N6" s="12" t="s">
        <v>8</v>
      </c>
      <c r="O6" s="12" t="s">
        <v>37</v>
      </c>
      <c r="P6" s="12" t="s">
        <v>38</v>
      </c>
      <c r="Q6" s="12" t="s">
        <v>39</v>
      </c>
      <c r="R6" s="12" t="s">
        <v>40</v>
      </c>
      <c r="S6" s="12" t="s">
        <v>41</v>
      </c>
    </row>
    <row r="7" spans="1:19" x14ac:dyDescent="0.35">
      <c r="A7" s="2">
        <v>48</v>
      </c>
      <c r="B7" s="2">
        <v>80</v>
      </c>
      <c r="C7" s="2">
        <v>98</v>
      </c>
      <c r="D7" s="2">
        <v>71</v>
      </c>
      <c r="F7" t="s">
        <v>1</v>
      </c>
      <c r="G7">
        <f>COUNT(A4:A11)</f>
        <v>7</v>
      </c>
      <c r="H7">
        <f>SUM(A4:A11)</f>
        <v>429</v>
      </c>
      <c r="I7">
        <f>AVERAGE(A4:A11)</f>
        <v>61.285714285714285</v>
      </c>
      <c r="J7">
        <f>VAR(A4:A11)</f>
        <v>242.23809523809541</v>
      </c>
      <c r="K7">
        <f>DEVSQ(A4:A11)</f>
        <v>1453.4285714285713</v>
      </c>
      <c r="N7" t="s">
        <v>1</v>
      </c>
      <c r="O7">
        <v>-1</v>
      </c>
      <c r="P7">
        <f>I7</f>
        <v>61.285714285714285</v>
      </c>
      <c r="Q7">
        <f>G7</f>
        <v>7</v>
      </c>
      <c r="R7">
        <f>O7^2/Q7</f>
        <v>0.14285714285714285</v>
      </c>
      <c r="S7">
        <f>O7*P7</f>
        <v>-61.285714285714285</v>
      </c>
    </row>
    <row r="8" spans="1:19" x14ac:dyDescent="0.35">
      <c r="A8" s="2">
        <v>79</v>
      </c>
      <c r="B8" s="2">
        <v>52</v>
      </c>
      <c r="C8" s="2">
        <v>63</v>
      </c>
      <c r="D8" s="2">
        <v>67</v>
      </c>
      <c r="F8" t="s">
        <v>2</v>
      </c>
      <c r="G8">
        <f>COUNT(B4:B11)</f>
        <v>8</v>
      </c>
      <c r="H8">
        <f>SUM(B4:B11)</f>
        <v>623</v>
      </c>
      <c r="I8">
        <f>AVERAGE(B4:B11)</f>
        <v>77.875</v>
      </c>
      <c r="J8">
        <f>VAR(B4:B11)</f>
        <v>157.55357142857142</v>
      </c>
      <c r="K8">
        <f>DEVSQ(B4:B11)</f>
        <v>1102.875</v>
      </c>
      <c r="N8" t="s">
        <v>2</v>
      </c>
      <c r="O8">
        <v>1</v>
      </c>
      <c r="P8">
        <f>I8</f>
        <v>77.875</v>
      </c>
      <c r="Q8">
        <f>G8</f>
        <v>8</v>
      </c>
      <c r="R8">
        <f>O8^2/Q8</f>
        <v>0.125</v>
      </c>
      <c r="S8">
        <f>O8*P8</f>
        <v>77.875</v>
      </c>
    </row>
    <row r="9" spans="1:19" x14ac:dyDescent="0.35">
      <c r="A9" s="2">
        <v>61</v>
      </c>
      <c r="B9" s="2">
        <v>79</v>
      </c>
      <c r="C9" s="2">
        <v>83</v>
      </c>
      <c r="D9" s="2">
        <v>51</v>
      </c>
      <c r="F9" t="s">
        <v>3</v>
      </c>
      <c r="G9">
        <f>COUNT(C4:C11)</f>
        <v>8</v>
      </c>
      <c r="H9">
        <f>SUM(C4:C11)</f>
        <v>624</v>
      </c>
      <c r="I9">
        <f>AVERAGE(C4:C11)</f>
        <v>78</v>
      </c>
      <c r="J9">
        <f>VAR(C4:C11)</f>
        <v>164.57142857142858</v>
      </c>
      <c r="K9">
        <f>DEVSQ(C4:C11)</f>
        <v>1152</v>
      </c>
      <c r="N9" t="s">
        <v>3</v>
      </c>
    </row>
    <row r="10" spans="1:19" x14ac:dyDescent="0.35">
      <c r="A10" s="2">
        <v>53</v>
      </c>
      <c r="B10" s="2">
        <v>73</v>
      </c>
      <c r="C10" s="2">
        <v>85</v>
      </c>
      <c r="D10" s="2"/>
      <c r="F10" t="s">
        <v>4</v>
      </c>
      <c r="G10">
        <f>COUNT(D4:D11)</f>
        <v>6</v>
      </c>
      <c r="H10">
        <f>SUM(D4:D11)</f>
        <v>419</v>
      </c>
      <c r="I10">
        <f>AVERAGE(D4:D11)</f>
        <v>69.833333333333329</v>
      </c>
      <c r="J10">
        <f>VAR(D4:D11)</f>
        <v>144.16666666666643</v>
      </c>
      <c r="K10">
        <f>DEVSQ(D4:D11)</f>
        <v>720.83333333333348</v>
      </c>
      <c r="N10" t="s">
        <v>4</v>
      </c>
      <c r="O10" s="13"/>
      <c r="P10" s="13"/>
      <c r="Q10" s="13"/>
      <c r="R10" s="13"/>
      <c r="S10" s="13"/>
    </row>
    <row r="11" spans="1:19" x14ac:dyDescent="0.35">
      <c r="A11" s="11"/>
      <c r="B11" s="11">
        <v>74</v>
      </c>
      <c r="C11" s="11">
        <v>58</v>
      </c>
      <c r="D11" s="11"/>
      <c r="F11" s="14"/>
      <c r="G11" s="14"/>
      <c r="H11" s="14"/>
      <c r="I11" s="14"/>
      <c r="J11" s="14"/>
      <c r="K11" s="14"/>
      <c r="N11" s="14"/>
      <c r="R11">
        <f>SUM(R7:R10)</f>
        <v>0.26785714285714285</v>
      </c>
      <c r="S11">
        <f>SUM(S7:S10)</f>
        <v>16.589285714285715</v>
      </c>
    </row>
    <row r="12" spans="1:19" ht="15" thickBot="1" x14ac:dyDescent="0.4">
      <c r="A12" s="2"/>
      <c r="B12" s="2"/>
      <c r="F12" t="s">
        <v>19</v>
      </c>
      <c r="I12" t="s">
        <v>35</v>
      </c>
      <c r="J12">
        <v>0.05</v>
      </c>
      <c r="N12" t="s">
        <v>42</v>
      </c>
    </row>
    <row r="13" spans="1:19" ht="15" thickTop="1" x14ac:dyDescent="0.35">
      <c r="A13" s="2"/>
      <c r="B13" s="2"/>
      <c r="F13" s="12" t="s">
        <v>43</v>
      </c>
      <c r="G13" s="12" t="s">
        <v>21</v>
      </c>
      <c r="H13" s="12" t="s">
        <v>22</v>
      </c>
      <c r="I13" s="12" t="s">
        <v>23</v>
      </c>
      <c r="J13" s="12" t="s">
        <v>24</v>
      </c>
      <c r="K13" s="12" t="s">
        <v>44</v>
      </c>
      <c r="L13" s="12" t="s">
        <v>45</v>
      </c>
      <c r="N13" s="12" t="s">
        <v>46</v>
      </c>
      <c r="O13" s="12" t="s">
        <v>47</v>
      </c>
      <c r="P13" s="12" t="s">
        <v>22</v>
      </c>
      <c r="Q13" s="12" t="s">
        <v>17</v>
      </c>
      <c r="R13" s="12" t="s">
        <v>48</v>
      </c>
    </row>
    <row r="14" spans="1:19" x14ac:dyDescent="0.35">
      <c r="A14" s="2"/>
      <c r="B14" s="2"/>
      <c r="F14" t="s">
        <v>27</v>
      </c>
      <c r="G14">
        <f>G16-G15</f>
        <v>1394.1734400656824</v>
      </c>
      <c r="H14">
        <f>COUNTA(F7:F10)-1</f>
        <v>3</v>
      </c>
      <c r="I14">
        <f>G14/H14</f>
        <v>464.72448002189412</v>
      </c>
      <c r="J14">
        <f>I14/I15</f>
        <v>2.6231097052015611</v>
      </c>
      <c r="K14">
        <f>FDIST(J14,H14,H15)</f>
        <v>7.2760576413978123E-2</v>
      </c>
      <c r="L14">
        <f>FINV(J12,H14,H15)</f>
        <v>2.9912409095499513</v>
      </c>
      <c r="N14" s="15">
        <f>SQRT($I$15*R11)</f>
        <v>6.888761736720622</v>
      </c>
      <c r="O14" s="15">
        <f>S11/N14</f>
        <v>2.4081665687254561</v>
      </c>
      <c r="P14" s="15">
        <f>$H$15</f>
        <v>25</v>
      </c>
      <c r="Q14" s="15">
        <f>TDIST(ABS(O14),P14,2)</f>
        <v>2.3734329328748829E-2</v>
      </c>
      <c r="R14" s="16" t="str">
        <f>IF(Q14&lt;S5,"yes","no")</f>
        <v>yes</v>
      </c>
    </row>
    <row r="15" spans="1:19" x14ac:dyDescent="0.35">
      <c r="A15" s="2"/>
      <c r="B15" s="2"/>
      <c r="F15" t="s">
        <v>28</v>
      </c>
      <c r="G15">
        <f>SUM(K7:K10)</f>
        <v>4429.1369047619046</v>
      </c>
      <c r="H15">
        <f>H16-H14</f>
        <v>25</v>
      </c>
      <c r="I15">
        <f>G15/H15</f>
        <v>177.16547619047617</v>
      </c>
    </row>
    <row r="16" spans="1:19" x14ac:dyDescent="0.35">
      <c r="A16" s="2"/>
      <c r="B16" s="2"/>
      <c r="F16" s="13" t="s">
        <v>29</v>
      </c>
      <c r="G16" s="13">
        <f>DEVSQ(A4:D11)</f>
        <v>5823.310344827587</v>
      </c>
      <c r="H16" s="13">
        <f>COUNT(A4:D11)-1</f>
        <v>28</v>
      </c>
      <c r="I16" s="13">
        <f>G16/H16</f>
        <v>207.97536945812811</v>
      </c>
      <c r="J16" s="13"/>
      <c r="K16" s="13"/>
      <c r="L16" s="13"/>
    </row>
    <row r="17" spans="1:21" ht="15" thickBot="1" x14ac:dyDescent="0.4">
      <c r="A17" s="2"/>
      <c r="B17" s="2"/>
      <c r="N17" t="s">
        <v>49</v>
      </c>
      <c r="R17" s="2" t="s">
        <v>35</v>
      </c>
      <c r="S17" s="2">
        <v>0.05</v>
      </c>
    </row>
    <row r="18" spans="1:21" ht="15" thickTop="1" x14ac:dyDescent="0.35">
      <c r="N18" s="12" t="s">
        <v>8</v>
      </c>
      <c r="O18" s="12" t="s">
        <v>37</v>
      </c>
      <c r="P18" s="12" t="s">
        <v>38</v>
      </c>
      <c r="Q18" s="12" t="s">
        <v>39</v>
      </c>
      <c r="R18" s="12" t="s">
        <v>40</v>
      </c>
      <c r="S18" s="12" t="s">
        <v>41</v>
      </c>
    </row>
    <row r="19" spans="1:21" x14ac:dyDescent="0.35">
      <c r="N19" t="s">
        <v>1</v>
      </c>
      <c r="O19">
        <v>-0.5</v>
      </c>
      <c r="P19">
        <f>I7</f>
        <v>61.285714285714285</v>
      </c>
      <c r="Q19">
        <f>G7</f>
        <v>7</v>
      </c>
      <c r="R19">
        <f>O19^2/Q19</f>
        <v>3.5714285714285712E-2</v>
      </c>
      <c r="S19">
        <f>O19*P19</f>
        <v>-30.642857142857142</v>
      </c>
    </row>
    <row r="20" spans="1:21" x14ac:dyDescent="0.35">
      <c r="N20" t="s">
        <v>2</v>
      </c>
      <c r="O20">
        <v>-0.5</v>
      </c>
      <c r="P20">
        <f>I8</f>
        <v>77.875</v>
      </c>
      <c r="Q20">
        <f>G8</f>
        <v>8</v>
      </c>
      <c r="R20">
        <f>O20^2/Q20</f>
        <v>3.125E-2</v>
      </c>
      <c r="S20">
        <f>O20*P20</f>
        <v>-38.9375</v>
      </c>
    </row>
    <row r="21" spans="1:21" x14ac:dyDescent="0.35">
      <c r="N21" t="s">
        <v>3</v>
      </c>
    </row>
    <row r="22" spans="1:21" x14ac:dyDescent="0.35">
      <c r="N22" t="s">
        <v>4</v>
      </c>
      <c r="O22" s="13">
        <v>1</v>
      </c>
      <c r="P22" s="13">
        <f>I10</f>
        <v>69.833333333333329</v>
      </c>
      <c r="Q22" s="13">
        <f>G10</f>
        <v>6</v>
      </c>
      <c r="R22" s="13">
        <f>O22^2/Q22</f>
        <v>0.16666666666666666</v>
      </c>
      <c r="S22" s="13">
        <f>O22*P22</f>
        <v>69.833333333333329</v>
      </c>
    </row>
    <row r="23" spans="1:21" x14ac:dyDescent="0.35">
      <c r="N23" s="14"/>
      <c r="R23">
        <f>SUM(R19:R22)</f>
        <v>0.23363095238095238</v>
      </c>
      <c r="S23">
        <f>SUM(S19:S22)</f>
        <v>0.2529761904761898</v>
      </c>
    </row>
    <row r="24" spans="1:21" ht="15" thickBot="1" x14ac:dyDescent="0.4">
      <c r="N24" t="s">
        <v>42</v>
      </c>
    </row>
    <row r="25" spans="1:21" ht="15" thickTop="1" x14ac:dyDescent="0.35">
      <c r="N25" s="12" t="s">
        <v>46</v>
      </c>
      <c r="O25" s="12" t="s">
        <v>47</v>
      </c>
      <c r="P25" s="12" t="s">
        <v>22</v>
      </c>
      <c r="Q25" s="12" t="s">
        <v>17</v>
      </c>
      <c r="R25" s="12" t="s">
        <v>48</v>
      </c>
      <c r="S25" s="12" t="s">
        <v>50</v>
      </c>
      <c r="T25" s="12" t="s">
        <v>51</v>
      </c>
      <c r="U25" s="12" t="s">
        <v>52</v>
      </c>
    </row>
    <row r="26" spans="1:21" x14ac:dyDescent="0.35">
      <c r="N26" s="15">
        <f>SQRT($I$15*R23)</f>
        <v>6.4336101009779796</v>
      </c>
      <c r="O26" s="15">
        <f>S23/N26</f>
        <v>3.9321032282906704E-2</v>
      </c>
      <c r="P26" s="15">
        <f>$H$15</f>
        <v>25</v>
      </c>
      <c r="Q26" s="15">
        <f>TDIST(ABS(O26),P26,2)</f>
        <v>0.96894676801306101</v>
      </c>
      <c r="R26" s="16" t="str">
        <f>IF(Q26&lt;S17,"yes","no")</f>
        <v>no</v>
      </c>
      <c r="S26" s="16">
        <f>TINV(S17,P26)</f>
        <v>2.0595385527532977</v>
      </c>
      <c r="T26" s="16">
        <f>S23-N26*S26</f>
        <v>-12.997291845870995</v>
      </c>
      <c r="U26" s="16">
        <f>S23+N26*S26</f>
        <v>13.503244226823375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C12A1-7EA4-4E66-9130-7A3B5E571280}">
  <dimension ref="A1:Z17"/>
  <sheetViews>
    <sheetView workbookViewId="0"/>
  </sheetViews>
  <sheetFormatPr defaultRowHeight="14.5" x14ac:dyDescent="0.35"/>
  <sheetData>
    <row r="1" spans="1:26" x14ac:dyDescent="0.35">
      <c r="A1" s="1" t="s">
        <v>30</v>
      </c>
    </row>
    <row r="2" spans="1:26" x14ac:dyDescent="0.35">
      <c r="A2" s="2"/>
      <c r="B2" s="2"/>
    </row>
    <row r="3" spans="1:26" ht="15" thickBot="1" x14ac:dyDescent="0.4">
      <c r="A3" s="3" t="s">
        <v>1</v>
      </c>
      <c r="B3" s="3" t="s">
        <v>2</v>
      </c>
      <c r="C3" s="3" t="s">
        <v>3</v>
      </c>
      <c r="D3" s="3" t="s">
        <v>4</v>
      </c>
      <c r="F3" t="s">
        <v>31</v>
      </c>
      <c r="P3" t="s">
        <v>49</v>
      </c>
      <c r="S3" t="s">
        <v>35</v>
      </c>
      <c r="T3">
        <v>0.05</v>
      </c>
    </row>
    <row r="4" spans="1:26" ht="15" thickTop="1" x14ac:dyDescent="0.35">
      <c r="A4" s="3">
        <v>51</v>
      </c>
      <c r="B4" s="3">
        <v>82</v>
      </c>
      <c r="C4" s="3">
        <v>79</v>
      </c>
      <c r="D4" s="3">
        <v>85</v>
      </c>
      <c r="P4" s="12" t="s">
        <v>53</v>
      </c>
      <c r="Q4" s="12" t="s">
        <v>54</v>
      </c>
      <c r="R4" s="12" t="s">
        <v>38</v>
      </c>
      <c r="S4" s="12" t="s">
        <v>55</v>
      </c>
      <c r="T4" s="12" t="s">
        <v>56</v>
      </c>
    </row>
    <row r="5" spans="1:26" ht="15" thickBot="1" x14ac:dyDescent="0.4">
      <c r="A5" s="2">
        <v>87</v>
      </c>
      <c r="B5" s="2">
        <v>91</v>
      </c>
      <c r="C5" s="2">
        <v>84</v>
      </c>
      <c r="D5" s="2">
        <v>80</v>
      </c>
      <c r="F5" t="s">
        <v>33</v>
      </c>
      <c r="K5" t="s">
        <v>35</v>
      </c>
      <c r="L5">
        <v>0.05</v>
      </c>
      <c r="P5" t="str">
        <f>A3</f>
        <v>Method 1</v>
      </c>
      <c r="Q5" s="17">
        <v>-0.5</v>
      </c>
      <c r="R5">
        <f>AVERAGE(A4:A11)</f>
        <v>61.285714285714285</v>
      </c>
      <c r="S5">
        <f>COUNT(A4:A11)</f>
        <v>7</v>
      </c>
      <c r="T5">
        <f>DEVSQ(A4:A11)</f>
        <v>1453.4285714285713</v>
      </c>
    </row>
    <row r="6" spans="1:26" ht="15" thickTop="1" x14ac:dyDescent="0.35">
      <c r="A6" s="2">
        <v>50</v>
      </c>
      <c r="B6" s="2">
        <v>92</v>
      </c>
      <c r="C6" s="2">
        <v>74</v>
      </c>
      <c r="D6" s="2">
        <v>65</v>
      </c>
      <c r="F6" s="12" t="s">
        <v>57</v>
      </c>
      <c r="G6" s="12" t="s">
        <v>9</v>
      </c>
      <c r="H6" s="12" t="s">
        <v>10</v>
      </c>
      <c r="I6" s="12" t="s">
        <v>36</v>
      </c>
      <c r="J6" s="12" t="s">
        <v>12</v>
      </c>
      <c r="K6" s="12" t="s">
        <v>21</v>
      </c>
      <c r="L6" s="12" t="s">
        <v>58</v>
      </c>
      <c r="M6" s="12" t="s">
        <v>59</v>
      </c>
      <c r="N6" s="12" t="s">
        <v>60</v>
      </c>
      <c r="P6" t="str">
        <f>B3</f>
        <v>Method 2</v>
      </c>
      <c r="Q6" s="17">
        <v>-0.5</v>
      </c>
      <c r="R6">
        <f>AVERAGE(B4:B11)</f>
        <v>77.875</v>
      </c>
      <c r="S6">
        <f>COUNT(B4:B11)</f>
        <v>8</v>
      </c>
      <c r="T6">
        <f>DEVSQ(B4:B11)</f>
        <v>1102.875</v>
      </c>
    </row>
    <row r="7" spans="1:26" x14ac:dyDescent="0.35">
      <c r="A7" s="2">
        <v>48</v>
      </c>
      <c r="B7" s="2">
        <v>80</v>
      </c>
      <c r="C7" s="2">
        <v>98</v>
      </c>
      <c r="D7" s="2">
        <v>71</v>
      </c>
      <c r="F7" t="str">
        <f>A3</f>
        <v>Method 1</v>
      </c>
      <c r="G7">
        <f>COUNT(A4:A11)</f>
        <v>7</v>
      </c>
      <c r="H7">
        <f>SUM(A4:A11)</f>
        <v>429</v>
      </c>
      <c r="I7">
        <f>AVERAGE(A4:A11)</f>
        <v>61.285714285714285</v>
      </c>
      <c r="J7">
        <f>VAR(A4:A11)</f>
        <v>242.23809523809541</v>
      </c>
      <c r="K7">
        <f>DEVSQ(A4:A11)</f>
        <v>1453.4285714285713</v>
      </c>
      <c r="L7">
        <f>SQRT(I15/G7)</f>
        <v>5.0308402619737986</v>
      </c>
      <c r="M7">
        <f>I7-L7*TINV(L5,H15)</f>
        <v>50.924504813435746</v>
      </c>
      <c r="N7">
        <f>I7+L7*TINV(L5,H15)</f>
        <v>71.646923757992823</v>
      </c>
      <c r="P7" t="str">
        <f>C3</f>
        <v>Method 3</v>
      </c>
      <c r="Q7" s="17"/>
      <c r="R7">
        <f>AVERAGE(C4:C11)</f>
        <v>78</v>
      </c>
      <c r="S7">
        <f>COUNT(C4:C11)</f>
        <v>8</v>
      </c>
      <c r="T7">
        <f>DEVSQ(C4:C11)</f>
        <v>1152</v>
      </c>
    </row>
    <row r="8" spans="1:26" x14ac:dyDescent="0.35">
      <c r="A8" s="2">
        <v>79</v>
      </c>
      <c r="B8" s="2">
        <v>52</v>
      </c>
      <c r="C8" s="2">
        <v>63</v>
      </c>
      <c r="D8" s="2">
        <v>67</v>
      </c>
      <c r="F8" t="str">
        <f>B3</f>
        <v>Method 2</v>
      </c>
      <c r="G8">
        <f>COUNT(B4:B11)</f>
        <v>8</v>
      </c>
      <c r="H8">
        <f>SUM(B4:B11)</f>
        <v>623</v>
      </c>
      <c r="I8">
        <f>AVERAGE(B4:B11)</f>
        <v>77.875</v>
      </c>
      <c r="J8">
        <f>VAR(B4:B11)</f>
        <v>157.55357142857142</v>
      </c>
      <c r="K8">
        <f>DEVSQ(B4:B11)</f>
        <v>1102.875</v>
      </c>
      <c r="L8">
        <f>SQRT(I15/G8)</f>
        <v>4.7059201569735034</v>
      </c>
      <c r="M8">
        <f>I8-L8*TINV(L5,H15)</f>
        <v>68.182976010534219</v>
      </c>
      <c r="N8">
        <f>I8+L8*TINV(L5,H15)</f>
        <v>87.567023989465781</v>
      </c>
      <c r="P8" t="str">
        <f>D3</f>
        <v>Method 4</v>
      </c>
      <c r="Q8" s="17">
        <v>1</v>
      </c>
      <c r="R8">
        <f>AVERAGE(D4:D11)</f>
        <v>69.833333333333329</v>
      </c>
      <c r="S8">
        <f>COUNT(D4:D11)</f>
        <v>6</v>
      </c>
      <c r="T8">
        <f>DEVSQ(D4:D11)</f>
        <v>720.83333333333348</v>
      </c>
    </row>
    <row r="9" spans="1:26" x14ac:dyDescent="0.35">
      <c r="A9" s="2">
        <v>61</v>
      </c>
      <c r="B9" s="2">
        <v>79</v>
      </c>
      <c r="C9" s="2">
        <v>83</v>
      </c>
      <c r="D9" s="2">
        <v>51</v>
      </c>
      <c r="F9" t="str">
        <f>C3</f>
        <v>Method 3</v>
      </c>
      <c r="G9">
        <f>COUNT(C4:C11)</f>
        <v>8</v>
      </c>
      <c r="H9">
        <f>SUM(C4:C11)</f>
        <v>624</v>
      </c>
      <c r="I9">
        <f>AVERAGE(C4:C11)</f>
        <v>78</v>
      </c>
      <c r="J9">
        <f>VAR(C4:C11)</f>
        <v>164.57142857142858</v>
      </c>
      <c r="K9">
        <f>DEVSQ(C4:C11)</f>
        <v>1152</v>
      </c>
      <c r="L9">
        <f>SQRT(I15/G9)</f>
        <v>4.7059201569735034</v>
      </c>
      <c r="M9">
        <f>I9-L9*TINV(L5,H15)</f>
        <v>68.307976010534219</v>
      </c>
      <c r="N9">
        <f>I9+L9*TINV(L5,H15)</f>
        <v>87.692023989465781</v>
      </c>
      <c r="P9" s="14"/>
      <c r="Q9" s="14">
        <f>SUM(Q5:Q8)</f>
        <v>0</v>
      </c>
      <c r="R9" s="14">
        <f>SUMPRODUCT(Q5:Q8,R5:R8)</f>
        <v>0.2529761904761898</v>
      </c>
      <c r="S9" s="14">
        <f>SUM(S5:S8)</f>
        <v>29</v>
      </c>
      <c r="T9" s="14">
        <f>SUM(T5:T8)</f>
        <v>4429.1369047619046</v>
      </c>
    </row>
    <row r="10" spans="1:26" ht="15" thickBot="1" x14ac:dyDescent="0.4">
      <c r="A10" s="2">
        <v>53</v>
      </c>
      <c r="B10" s="2">
        <v>73</v>
      </c>
      <c r="C10" s="2">
        <v>85</v>
      </c>
      <c r="D10" s="2"/>
      <c r="F10" t="str">
        <f>D3</f>
        <v>Method 4</v>
      </c>
      <c r="G10">
        <f>COUNT(D4:D11)</f>
        <v>6</v>
      </c>
      <c r="H10">
        <f>SUM(D4:D11)</f>
        <v>419</v>
      </c>
      <c r="I10">
        <f>AVERAGE(D4:D11)</f>
        <v>69.833333333333329</v>
      </c>
      <c r="J10">
        <f>VAR(D4:D11)</f>
        <v>144.16666666666643</v>
      </c>
      <c r="K10">
        <f>DEVSQ(D4:D11)</f>
        <v>720.83333333333348</v>
      </c>
      <c r="L10">
        <f>SQRT(I15/G10)</f>
        <v>5.4339285388270762</v>
      </c>
      <c r="M10">
        <f>I10-L10*TINV(L5,H15)</f>
        <v>58.641948014712568</v>
      </c>
      <c r="N10">
        <f>I10+L10*TINV(L5,H15)</f>
        <v>81.024718651954089</v>
      </c>
      <c r="P10" t="s">
        <v>61</v>
      </c>
    </row>
    <row r="11" spans="1:26" ht="15" thickTop="1" x14ac:dyDescent="0.35">
      <c r="A11" s="11"/>
      <c r="B11" s="11">
        <v>74</v>
      </c>
      <c r="C11" s="11">
        <v>58</v>
      </c>
      <c r="D11" s="11"/>
      <c r="F11" s="14"/>
      <c r="G11" s="14"/>
      <c r="H11" s="14"/>
      <c r="I11" s="14"/>
      <c r="J11" s="14"/>
      <c r="K11" s="14"/>
      <c r="L11" s="14"/>
      <c r="M11" s="14"/>
      <c r="N11" s="14"/>
      <c r="P11" s="12" t="s">
        <v>62</v>
      </c>
      <c r="Q11" s="12" t="s">
        <v>47</v>
      </c>
      <c r="R11" s="12" t="s">
        <v>22</v>
      </c>
      <c r="S11" s="12" t="s">
        <v>17</v>
      </c>
      <c r="T11" s="12" t="s">
        <v>50</v>
      </c>
      <c r="U11" s="12" t="s">
        <v>51</v>
      </c>
      <c r="V11" s="12" t="s">
        <v>52</v>
      </c>
      <c r="W11" s="12" t="s">
        <v>48</v>
      </c>
      <c r="X11" s="12" t="s">
        <v>63</v>
      </c>
      <c r="Y11" s="12" t="s">
        <v>64</v>
      </c>
    </row>
    <row r="12" spans="1:26" ht="15" thickBot="1" x14ac:dyDescent="0.4">
      <c r="A12" s="2"/>
      <c r="B12" s="2"/>
      <c r="F12" t="s">
        <v>19</v>
      </c>
      <c r="P12" s="15">
        <f>SQRT(SUMPRODUCT(Q5:Q8^2,1/S5:S8)*T9/R12)</f>
        <v>6.4336101009779805</v>
      </c>
      <c r="Q12" s="15">
        <f>R9/P12</f>
        <v>3.9321032282906697E-2</v>
      </c>
      <c r="R12" s="15">
        <f>S9-COUNT(S5:S8)</f>
        <v>25</v>
      </c>
      <c r="S12" s="15">
        <f>TDIST(ABS(Q12),R12,2)</f>
        <v>0.96894676801306101</v>
      </c>
      <c r="T12" s="15">
        <f>TINV(T3,R12)</f>
        <v>2.0595385527532977</v>
      </c>
      <c r="U12" s="15">
        <f>R9-P12*T12</f>
        <v>-12.997291845870997</v>
      </c>
      <c r="V12" s="15">
        <f>R9+P12*T12</f>
        <v>13.503244226823377</v>
      </c>
      <c r="W12" s="16" t="str">
        <f>IF(S12&lt;T3,"yes","no")</f>
        <v>no</v>
      </c>
      <c r="X12" s="15">
        <f>ABS(R9)*SQRT(R12/T9)</f>
        <v>1.9005972668212089E-2</v>
      </c>
      <c r="Y12" s="15">
        <f>SQRT(Q12^2/(Q12^2+R12))</f>
        <v>7.8639632840142113E-3</v>
      </c>
      <c r="Z12" s="2"/>
    </row>
    <row r="13" spans="1:26" ht="15" thickTop="1" x14ac:dyDescent="0.35">
      <c r="A13" s="2"/>
      <c r="B13" s="2"/>
      <c r="F13" s="12" t="s">
        <v>43</v>
      </c>
      <c r="G13" s="12" t="s">
        <v>21</v>
      </c>
      <c r="H13" s="12" t="s">
        <v>22</v>
      </c>
      <c r="I13" s="12" t="s">
        <v>23</v>
      </c>
      <c r="J13" s="12" t="s">
        <v>24</v>
      </c>
      <c r="K13" s="12" t="s">
        <v>44</v>
      </c>
      <c r="L13" s="12" t="s">
        <v>65</v>
      </c>
      <c r="M13" s="12" t="s">
        <v>66</v>
      </c>
      <c r="N13" s="12" t="s">
        <v>67</v>
      </c>
    </row>
    <row r="14" spans="1:26" x14ac:dyDescent="0.35">
      <c r="A14" s="2"/>
      <c r="B14" s="2"/>
      <c r="F14" t="s">
        <v>27</v>
      </c>
      <c r="G14">
        <f>G16-G15</f>
        <v>1394.1734400656824</v>
      </c>
      <c r="H14">
        <f>COUNTA(F7:F10)-1</f>
        <v>3</v>
      </c>
      <c r="I14">
        <f>G14/H14</f>
        <v>464.72448002189412</v>
      </c>
      <c r="J14">
        <f>I14/I15</f>
        <v>2.6231097052015611</v>
      </c>
      <c r="K14">
        <f>FDIST(J14,H14,H15)</f>
        <v>7.2760576413978123E-2</v>
      </c>
      <c r="L14">
        <f>G14/G16</f>
        <v>0.23941252612511418</v>
      </c>
      <c r="M14">
        <f>SQRT(DEVSQ(I7:I10)/(I15*H14))</f>
        <v>0.59750859005399493</v>
      </c>
      <c r="N14">
        <f>(G16-H16*I15)/(G16+I15)</f>
        <v>0.14376810060171005</v>
      </c>
    </row>
    <row r="15" spans="1:26" x14ac:dyDescent="0.35">
      <c r="A15" s="2"/>
      <c r="B15" s="2"/>
      <c r="F15" t="s">
        <v>28</v>
      </c>
      <c r="G15">
        <f>SUM(K7:K10)</f>
        <v>4429.1369047619046</v>
      </c>
      <c r="H15">
        <f>H16-H14</f>
        <v>25</v>
      </c>
      <c r="I15">
        <f>G15/H15</f>
        <v>177.16547619047617</v>
      </c>
    </row>
    <row r="16" spans="1:26" x14ac:dyDescent="0.35">
      <c r="A16" s="2"/>
      <c r="B16" s="2"/>
      <c r="F16" s="13" t="s">
        <v>29</v>
      </c>
      <c r="G16" s="13">
        <f>DEVSQ(A4:D11)</f>
        <v>5823.310344827587</v>
      </c>
      <c r="H16" s="13">
        <f>COUNT(A4:D11)-1</f>
        <v>28</v>
      </c>
      <c r="I16" s="13">
        <f>G16/H16</f>
        <v>207.97536945812811</v>
      </c>
      <c r="J16" s="13"/>
      <c r="K16" s="13"/>
      <c r="L16" s="13"/>
      <c r="M16" s="13"/>
      <c r="N16" s="13"/>
    </row>
    <row r="17" spans="1:2" x14ac:dyDescent="0.35">
      <c r="A17" s="2"/>
      <c r="B1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72799-8619-4FF5-BF85-1DC10702CEF1}">
  <dimension ref="A1:U107"/>
  <sheetViews>
    <sheetView workbookViewId="0"/>
  </sheetViews>
  <sheetFormatPr defaultRowHeight="14.5" x14ac:dyDescent="0.35"/>
  <cols>
    <col min="1" max="4" width="8" customWidth="1"/>
    <col min="5" max="5" width="4.54296875" customWidth="1"/>
    <col min="6" max="6" width="17.1796875" customWidth="1"/>
    <col min="7" max="7" width="8" customWidth="1"/>
    <col min="8" max="8" width="7.453125" customWidth="1"/>
    <col min="9" max="9" width="8.26953125" customWidth="1"/>
    <col min="11" max="12" width="8.26953125" customWidth="1"/>
    <col min="13" max="13" width="6.7265625" customWidth="1"/>
    <col min="14" max="14" width="13" customWidth="1"/>
    <col min="15" max="15" width="7.7265625" customWidth="1"/>
    <col min="17" max="17" width="7.54296875" customWidth="1"/>
  </cols>
  <sheetData>
    <row r="1" spans="1:21" x14ac:dyDescent="0.35">
      <c r="A1" s="1" t="s">
        <v>30</v>
      </c>
    </row>
    <row r="2" spans="1:21" x14ac:dyDescent="0.35">
      <c r="A2" s="1"/>
    </row>
    <row r="3" spans="1:21" x14ac:dyDescent="0.35">
      <c r="A3" s="18" t="s">
        <v>68</v>
      </c>
      <c r="B3" s="18"/>
      <c r="C3" s="18" t="s">
        <v>69</v>
      </c>
      <c r="D3" s="18"/>
      <c r="F3" t="s">
        <v>5</v>
      </c>
      <c r="N3" t="s">
        <v>32</v>
      </c>
    </row>
    <row r="4" spans="1:21" x14ac:dyDescent="0.35">
      <c r="A4" s="19" t="s">
        <v>70</v>
      </c>
      <c r="B4" s="16" t="s">
        <v>71</v>
      </c>
      <c r="C4" s="19" t="s">
        <v>70</v>
      </c>
      <c r="D4" s="20" t="s">
        <v>71</v>
      </c>
    </row>
    <row r="5" spans="1:21" ht="15" thickBot="1" x14ac:dyDescent="0.4">
      <c r="A5" s="21">
        <v>3</v>
      </c>
      <c r="B5" s="3">
        <v>2</v>
      </c>
      <c r="C5" s="21">
        <v>5</v>
      </c>
      <c r="D5" s="22">
        <v>4</v>
      </c>
      <c r="F5" t="s">
        <v>6</v>
      </c>
      <c r="N5" t="s">
        <v>34</v>
      </c>
    </row>
    <row r="6" spans="1:21" ht="15" thickTop="1" x14ac:dyDescent="0.35">
      <c r="A6" s="23">
        <v>5</v>
      </c>
      <c r="B6" s="2">
        <v>4</v>
      </c>
      <c r="C6" s="23">
        <v>8</v>
      </c>
      <c r="D6" s="24">
        <v>5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21</v>
      </c>
      <c r="N6" s="12" t="s">
        <v>8</v>
      </c>
      <c r="O6" s="12" t="s">
        <v>37</v>
      </c>
      <c r="P6" s="12" t="s">
        <v>38</v>
      </c>
      <c r="Q6" s="12" t="s">
        <v>39</v>
      </c>
      <c r="R6" s="12" t="s">
        <v>40</v>
      </c>
      <c r="S6" s="12" t="s">
        <v>41</v>
      </c>
    </row>
    <row r="7" spans="1:21" x14ac:dyDescent="0.35">
      <c r="A7" s="23">
        <v>6</v>
      </c>
      <c r="B7" s="2">
        <v>3</v>
      </c>
      <c r="C7" s="23">
        <v>6</v>
      </c>
      <c r="D7" s="24">
        <v>3</v>
      </c>
      <c r="F7" t="s">
        <v>72</v>
      </c>
      <c r="G7">
        <f>COUNT(A5:A16)</f>
        <v>12</v>
      </c>
      <c r="H7">
        <f>SUM(A5:A16)</f>
        <v>51</v>
      </c>
      <c r="I7">
        <f>AVERAGE(A5:A16)</f>
        <v>4.25</v>
      </c>
      <c r="J7">
        <f>VAR(A5:A16)</f>
        <v>3.1136363636363638</v>
      </c>
      <c r="K7">
        <f>DEVSQ(A5:A16)</f>
        <v>34.25</v>
      </c>
      <c r="N7" t="s">
        <v>72</v>
      </c>
      <c r="O7">
        <v>0.5</v>
      </c>
      <c r="P7">
        <f>$I$7</f>
        <v>4.25</v>
      </c>
      <c r="Q7">
        <f>$G$7</f>
        <v>12</v>
      </c>
      <c r="R7">
        <f>O7^2/Q7</f>
        <v>2.0833333333333332E-2</v>
      </c>
      <c r="S7">
        <f>O7*P7</f>
        <v>2.125</v>
      </c>
    </row>
    <row r="8" spans="1:21" x14ac:dyDescent="0.35">
      <c r="A8" s="23">
        <v>1</v>
      </c>
      <c r="B8" s="2">
        <v>5</v>
      </c>
      <c r="C8" s="23">
        <v>4</v>
      </c>
      <c r="D8" s="24">
        <v>7</v>
      </c>
      <c r="F8" t="s">
        <v>73</v>
      </c>
      <c r="G8">
        <f>COUNT(B5:B16)</f>
        <v>12</v>
      </c>
      <c r="H8">
        <f>SUM(B5:B16)</f>
        <v>38</v>
      </c>
      <c r="I8">
        <f>AVERAGE(B5:B16)</f>
        <v>3.1666666666666665</v>
      </c>
      <c r="J8">
        <f>VAR(B5:B16)</f>
        <v>2.6969696969696972</v>
      </c>
      <c r="K8">
        <f>DEVSQ(B5:B16)</f>
        <v>29.666666666666664</v>
      </c>
      <c r="N8" t="s">
        <v>73</v>
      </c>
      <c r="O8">
        <v>-0.5</v>
      </c>
      <c r="P8">
        <f>$I$8</f>
        <v>3.1666666666666665</v>
      </c>
      <c r="Q8">
        <f>$G$8</f>
        <v>12</v>
      </c>
      <c r="R8">
        <f>O8^2/Q8</f>
        <v>2.0833333333333332E-2</v>
      </c>
      <c r="S8">
        <f>O8*P8</f>
        <v>-1.5833333333333333</v>
      </c>
    </row>
    <row r="9" spans="1:21" x14ac:dyDescent="0.35">
      <c r="A9" s="23">
        <v>5</v>
      </c>
      <c r="B9" s="2">
        <v>1</v>
      </c>
      <c r="C9" s="23">
        <v>7</v>
      </c>
      <c r="D9" s="24">
        <v>6</v>
      </c>
      <c r="F9" t="s">
        <v>74</v>
      </c>
      <c r="G9">
        <f>COUNT(C5:C16)</f>
        <v>12</v>
      </c>
      <c r="H9">
        <f>SUM(C5:C16)</f>
        <v>67</v>
      </c>
      <c r="I9">
        <f>AVERAGE(C5:C16)</f>
        <v>5.583333333333333</v>
      </c>
      <c r="J9">
        <f>VAR(C5:C16)</f>
        <v>2.4469696969696986</v>
      </c>
      <c r="K9">
        <f>DEVSQ(C5:C16)</f>
        <v>26.916666666666668</v>
      </c>
      <c r="N9" t="s">
        <v>75</v>
      </c>
      <c r="O9">
        <v>0.5</v>
      </c>
      <c r="P9">
        <f>$I$9</f>
        <v>5.583333333333333</v>
      </c>
      <c r="Q9">
        <f>$G$9</f>
        <v>12</v>
      </c>
      <c r="R9">
        <f>O9^2/Q9</f>
        <v>2.0833333333333332E-2</v>
      </c>
      <c r="S9">
        <f>O9*P9</f>
        <v>2.7916666666666665</v>
      </c>
    </row>
    <row r="10" spans="1:21" ht="15" thickBot="1" x14ac:dyDescent="0.4">
      <c r="A10" s="23">
        <v>6</v>
      </c>
      <c r="B10" s="2">
        <v>5</v>
      </c>
      <c r="C10" s="23">
        <v>8</v>
      </c>
      <c r="D10" s="24">
        <v>3</v>
      </c>
      <c r="F10" s="9" t="s">
        <v>76</v>
      </c>
      <c r="G10" s="9">
        <f>COUNT(D5:D16)</f>
        <v>12</v>
      </c>
      <c r="H10" s="9">
        <f>SUM(D5:D16)</f>
        <v>46</v>
      </c>
      <c r="I10" s="9">
        <f>AVERAGE(D5:D16)</f>
        <v>3.8333333333333335</v>
      </c>
      <c r="J10" s="9">
        <f>VAR(D5:D16)</f>
        <v>2.6969696969696959</v>
      </c>
      <c r="K10" s="9">
        <f>DEVSQ(D5:D16)</f>
        <v>29.666666666666664</v>
      </c>
      <c r="N10" s="13" t="s">
        <v>77</v>
      </c>
      <c r="O10" s="13">
        <v>-0.5</v>
      </c>
      <c r="P10" s="13">
        <f>$I$10</f>
        <v>3.8333333333333335</v>
      </c>
      <c r="Q10" s="13">
        <f>$G$10</f>
        <v>12</v>
      </c>
      <c r="R10" s="13">
        <f>O10^2/Q10</f>
        <v>2.0833333333333332E-2</v>
      </c>
      <c r="S10" s="13">
        <f>O10*P10</f>
        <v>-1.9166666666666667</v>
      </c>
    </row>
    <row r="11" spans="1:21" x14ac:dyDescent="0.35">
      <c r="A11" s="23">
        <v>4</v>
      </c>
      <c r="B11" s="2">
        <v>2</v>
      </c>
      <c r="C11" s="23">
        <v>5</v>
      </c>
      <c r="D11" s="24">
        <v>2</v>
      </c>
      <c r="R11">
        <f>SUM(R7:R10)</f>
        <v>8.3333333333333329E-2</v>
      </c>
      <c r="S11">
        <f>SUM(S7:S10)</f>
        <v>1.4166666666666663</v>
      </c>
    </row>
    <row r="12" spans="1:21" x14ac:dyDescent="0.35">
      <c r="A12" s="23">
        <v>3</v>
      </c>
      <c r="B12" s="2">
        <v>3</v>
      </c>
      <c r="C12" s="23">
        <v>6</v>
      </c>
      <c r="D12" s="24">
        <v>2</v>
      </c>
    </row>
    <row r="13" spans="1:21" ht="15" thickBot="1" x14ac:dyDescent="0.4">
      <c r="A13" s="23">
        <v>7</v>
      </c>
      <c r="B13" s="2">
        <v>6</v>
      </c>
      <c r="C13" s="23">
        <v>6</v>
      </c>
      <c r="D13" s="24">
        <v>4</v>
      </c>
      <c r="F13" t="s">
        <v>19</v>
      </c>
      <c r="I13" t="s">
        <v>35</v>
      </c>
      <c r="J13">
        <v>0.05</v>
      </c>
      <c r="N13" t="s">
        <v>42</v>
      </c>
      <c r="R13" s="2" t="s">
        <v>35</v>
      </c>
      <c r="S13" s="2">
        <v>0.05</v>
      </c>
    </row>
    <row r="14" spans="1:21" ht="15" thickTop="1" x14ac:dyDescent="0.35">
      <c r="A14" s="23">
        <v>4</v>
      </c>
      <c r="B14" s="2">
        <v>2</v>
      </c>
      <c r="C14" s="23">
        <v>3</v>
      </c>
      <c r="D14" s="24">
        <v>5</v>
      </c>
      <c r="F14" s="7" t="s">
        <v>20</v>
      </c>
      <c r="G14" s="7" t="s">
        <v>21</v>
      </c>
      <c r="H14" s="7" t="s">
        <v>22</v>
      </c>
      <c r="I14" s="7" t="s">
        <v>23</v>
      </c>
      <c r="J14" s="7" t="s">
        <v>24</v>
      </c>
      <c r="K14" s="7" t="s">
        <v>25</v>
      </c>
      <c r="L14" s="7" t="s">
        <v>26</v>
      </c>
      <c r="N14" s="12" t="s">
        <v>46</v>
      </c>
      <c r="O14" s="12" t="s">
        <v>47</v>
      </c>
      <c r="P14" s="12" t="s">
        <v>22</v>
      </c>
      <c r="Q14" s="12" t="s">
        <v>17</v>
      </c>
      <c r="R14" s="12" t="s">
        <v>48</v>
      </c>
      <c r="S14" s="12" t="s">
        <v>50</v>
      </c>
      <c r="T14" s="12" t="s">
        <v>51</v>
      </c>
      <c r="U14" s="12" t="s">
        <v>52</v>
      </c>
    </row>
    <row r="15" spans="1:21" x14ac:dyDescent="0.35">
      <c r="A15" s="23">
        <v>5</v>
      </c>
      <c r="B15" s="2">
        <v>4</v>
      </c>
      <c r="C15" s="23">
        <v>4</v>
      </c>
      <c r="D15" s="24">
        <v>2</v>
      </c>
      <c r="F15" t="s">
        <v>27</v>
      </c>
      <c r="G15">
        <f>G18-G16</f>
        <v>37.416666666666714</v>
      </c>
      <c r="H15">
        <f>COUNTA(A4:D4)-1</f>
        <v>3</v>
      </c>
      <c r="I15">
        <f>G15/H15</f>
        <v>12.472222222222237</v>
      </c>
      <c r="J15">
        <f>I15/I16</f>
        <v>4.554172429691107</v>
      </c>
      <c r="K15">
        <f>FDIST(J15,H15,H16)</f>
        <v>7.2835322244351394E-3</v>
      </c>
      <c r="L15">
        <f>FINV(J13,H15,H16)</f>
        <v>2.8164658165656813</v>
      </c>
      <c r="N15" s="15">
        <f>SQRT($I$16*R11)</f>
        <v>0.47772345239656905</v>
      </c>
      <c r="O15" s="15">
        <f>ABS(S11/N15)</f>
        <v>2.9654534638392827</v>
      </c>
      <c r="P15" s="15">
        <f>$H$16</f>
        <v>44</v>
      </c>
      <c r="Q15" s="15">
        <f>TDIST(ABS(O15),P15,2)</f>
        <v>4.8678818348383687E-3</v>
      </c>
      <c r="R15" s="16" t="str">
        <f>IF(Q15&lt;S13,"yes","no")</f>
        <v>yes</v>
      </c>
      <c r="S15" s="16">
        <f>TINV(S13,P15)</f>
        <v>2.0153675744437649</v>
      </c>
      <c r="T15" s="16">
        <f>S11-N15*S15</f>
        <v>0.45387831115529154</v>
      </c>
      <c r="U15" s="16">
        <f>S11+N15*S15</f>
        <v>2.3794550221780408</v>
      </c>
    </row>
    <row r="16" spans="1:21" x14ac:dyDescent="0.35">
      <c r="A16" s="25">
        <v>2</v>
      </c>
      <c r="B16" s="11">
        <v>1</v>
      </c>
      <c r="C16" s="25">
        <v>5</v>
      </c>
      <c r="D16" s="26">
        <v>3</v>
      </c>
      <c r="F16" t="s">
        <v>28</v>
      </c>
      <c r="G16">
        <f>SUM(K7:K10)</f>
        <v>120.5</v>
      </c>
      <c r="H16">
        <f>H18-H15</f>
        <v>44</v>
      </c>
      <c r="I16">
        <f>G16/H16</f>
        <v>2.7386363636363638</v>
      </c>
    </row>
    <row r="17" spans="1:21" ht="15" thickBot="1" x14ac:dyDescent="0.4">
      <c r="A17" s="2"/>
      <c r="B17" s="2"/>
      <c r="N17" t="s">
        <v>78</v>
      </c>
      <c r="R17" s="2" t="s">
        <v>35</v>
      </c>
      <c r="S17" s="2">
        <f>S13/$H$15</f>
        <v>1.6666666666666666E-2</v>
      </c>
    </row>
    <row r="18" spans="1:21" ht="15.5" thickTop="1" thickBot="1" x14ac:dyDescent="0.4">
      <c r="F18" s="9" t="s">
        <v>29</v>
      </c>
      <c r="G18" s="9">
        <f>DEVSQ(A5:D16)</f>
        <v>157.91666666666671</v>
      </c>
      <c r="H18" s="9">
        <f>COUNT(A5:D16)-1</f>
        <v>47</v>
      </c>
      <c r="I18" s="9">
        <f>G18/H18</f>
        <v>3.3599290780141855</v>
      </c>
      <c r="J18" s="9"/>
      <c r="K18" s="9"/>
      <c r="L18" s="9"/>
      <c r="N18" s="12" t="s">
        <v>46</v>
      </c>
      <c r="O18" s="12" t="s">
        <v>47</v>
      </c>
      <c r="P18" s="12" t="s">
        <v>22</v>
      </c>
      <c r="Q18" s="12" t="s">
        <v>17</v>
      </c>
      <c r="R18" s="12" t="s">
        <v>48</v>
      </c>
      <c r="S18" s="12" t="s">
        <v>50</v>
      </c>
      <c r="T18" s="12" t="s">
        <v>51</v>
      </c>
      <c r="U18" s="12" t="s">
        <v>52</v>
      </c>
    </row>
    <row r="19" spans="1:21" x14ac:dyDescent="0.35">
      <c r="N19" s="15">
        <f>N15</f>
        <v>0.47772345239656905</v>
      </c>
      <c r="O19" s="15">
        <f>O15</f>
        <v>2.9654534638392827</v>
      </c>
      <c r="P19" s="15">
        <f>P15</f>
        <v>44</v>
      </c>
      <c r="Q19" s="15">
        <f>TDIST(ABS(O19),P19,2)</f>
        <v>4.8678818348383687E-3</v>
      </c>
      <c r="R19" s="16" t="str">
        <f>IF(Q19&lt;S17,"yes","no")</f>
        <v>yes</v>
      </c>
      <c r="S19" s="16">
        <f>TINV(S17,P19)</f>
        <v>2.4889679492395662</v>
      </c>
      <c r="T19" s="16">
        <f>S11-N19*S19</f>
        <v>0.2276283050515322</v>
      </c>
      <c r="U19" s="16">
        <f>S11+N19*S19</f>
        <v>2.6057050282818004</v>
      </c>
    </row>
    <row r="21" spans="1:21" ht="15" thickBot="1" x14ac:dyDescent="0.4">
      <c r="N21" s="27" t="s">
        <v>79</v>
      </c>
      <c r="R21" s="2" t="s">
        <v>35</v>
      </c>
      <c r="S21" s="2">
        <f>1-(1-S13)^(1/$H$15)</f>
        <v>1.6952427508441503E-2</v>
      </c>
    </row>
    <row r="22" spans="1:21" ht="15" thickTop="1" x14ac:dyDescent="0.35">
      <c r="N22" s="12" t="s">
        <v>46</v>
      </c>
      <c r="O22" s="12" t="s">
        <v>47</v>
      </c>
      <c r="P22" s="12" t="s">
        <v>22</v>
      </c>
      <c r="Q22" s="12" t="s">
        <v>17</v>
      </c>
      <c r="R22" s="12" t="s">
        <v>48</v>
      </c>
      <c r="S22" s="12" t="s">
        <v>50</v>
      </c>
      <c r="T22" s="12" t="s">
        <v>51</v>
      </c>
      <c r="U22" s="12" t="s">
        <v>52</v>
      </c>
    </row>
    <row r="23" spans="1:21" x14ac:dyDescent="0.35">
      <c r="N23" s="15">
        <f>N15</f>
        <v>0.47772345239656905</v>
      </c>
      <c r="O23" s="15">
        <f>O15</f>
        <v>2.9654534638392827</v>
      </c>
      <c r="P23" s="15">
        <f>P15</f>
        <v>44</v>
      </c>
      <c r="Q23" s="15">
        <f>TDIST(ABS(O23),P23,2)</f>
        <v>4.8678818348383687E-3</v>
      </c>
      <c r="R23" s="16" t="str">
        <f>IF(Q23&lt;S21,"yes","no")</f>
        <v>yes</v>
      </c>
      <c r="S23" s="16">
        <f>TINV(S21,P23)</f>
        <v>2.4820442076580118</v>
      </c>
      <c r="T23" s="16">
        <f>S11-N23*S23</f>
        <v>0.23093593878337404</v>
      </c>
      <c r="U23" s="16">
        <f>S11+N23*S23</f>
        <v>2.6023973945499588</v>
      </c>
    </row>
    <row r="26" spans="1:21" ht="15" thickBot="1" x14ac:dyDescent="0.4">
      <c r="N26" t="s">
        <v>34</v>
      </c>
    </row>
    <row r="27" spans="1:21" ht="15" thickTop="1" x14ac:dyDescent="0.35">
      <c r="N27" s="12" t="s">
        <v>8</v>
      </c>
      <c r="O27" s="12" t="s">
        <v>37</v>
      </c>
      <c r="P27" s="12" t="s">
        <v>38</v>
      </c>
      <c r="Q27" s="12" t="s">
        <v>39</v>
      </c>
      <c r="R27" s="12" t="s">
        <v>40</v>
      </c>
      <c r="S27" s="12" t="s">
        <v>41</v>
      </c>
    </row>
    <row r="28" spans="1:21" x14ac:dyDescent="0.35">
      <c r="N28" t="s">
        <v>72</v>
      </c>
      <c r="O28">
        <v>1</v>
      </c>
      <c r="P28">
        <f>$I$7</f>
        <v>4.25</v>
      </c>
      <c r="Q28">
        <f>$G$7</f>
        <v>12</v>
      </c>
      <c r="R28">
        <f>O28^2/Q28</f>
        <v>8.3333333333333329E-2</v>
      </c>
      <c r="S28">
        <f>O28*P28</f>
        <v>4.25</v>
      </c>
    </row>
    <row r="29" spans="1:21" x14ac:dyDescent="0.35">
      <c r="N29" t="s">
        <v>73</v>
      </c>
      <c r="O29">
        <v>-1</v>
      </c>
      <c r="P29">
        <f>$I$8</f>
        <v>3.1666666666666665</v>
      </c>
      <c r="Q29">
        <f>$G$8</f>
        <v>12</v>
      </c>
      <c r="R29">
        <f>O29^2/Q29</f>
        <v>8.3333333333333329E-2</v>
      </c>
      <c r="S29">
        <f>O29*P29</f>
        <v>-3.1666666666666665</v>
      </c>
    </row>
    <row r="30" spans="1:21" x14ac:dyDescent="0.35">
      <c r="N30" t="s">
        <v>75</v>
      </c>
      <c r="O30">
        <v>0</v>
      </c>
      <c r="P30">
        <f>$I$9</f>
        <v>5.583333333333333</v>
      </c>
      <c r="Q30">
        <f>$G$9</f>
        <v>12</v>
      </c>
      <c r="R30">
        <f>O30^2/Q30</f>
        <v>0</v>
      </c>
      <c r="S30">
        <f>O30*P30</f>
        <v>0</v>
      </c>
    </row>
    <row r="31" spans="1:21" x14ac:dyDescent="0.35">
      <c r="N31" s="13" t="s">
        <v>77</v>
      </c>
      <c r="O31" s="13">
        <v>0</v>
      </c>
      <c r="P31" s="13">
        <f>$I$10</f>
        <v>3.8333333333333335</v>
      </c>
      <c r="Q31" s="13">
        <f>$G$10</f>
        <v>12</v>
      </c>
      <c r="R31" s="13">
        <f>O31^2/Q31</f>
        <v>0</v>
      </c>
      <c r="S31" s="13">
        <f>O31*P31</f>
        <v>0</v>
      </c>
    </row>
    <row r="32" spans="1:21" x14ac:dyDescent="0.35">
      <c r="R32">
        <f>SUM(R28:R31)</f>
        <v>0.16666666666666666</v>
      </c>
      <c r="S32">
        <f>SUM(S28:S31)</f>
        <v>1.0833333333333335</v>
      </c>
    </row>
    <row r="34" spans="14:21" ht="15" thickBot="1" x14ac:dyDescent="0.4">
      <c r="N34" t="s">
        <v>42</v>
      </c>
      <c r="R34" s="2" t="s">
        <v>35</v>
      </c>
      <c r="S34" s="2">
        <v>0.05</v>
      </c>
    </row>
    <row r="35" spans="14:21" ht="15" thickTop="1" x14ac:dyDescent="0.35">
      <c r="N35" s="12" t="s">
        <v>46</v>
      </c>
      <c r="O35" s="12" t="s">
        <v>47</v>
      </c>
      <c r="P35" s="12" t="s">
        <v>22</v>
      </c>
      <c r="Q35" s="12" t="s">
        <v>17</v>
      </c>
      <c r="R35" s="12" t="s">
        <v>48</v>
      </c>
      <c r="S35" s="12" t="s">
        <v>50</v>
      </c>
      <c r="T35" s="12" t="s">
        <v>51</v>
      </c>
      <c r="U35" s="12" t="s">
        <v>52</v>
      </c>
    </row>
    <row r="36" spans="14:21" x14ac:dyDescent="0.35">
      <c r="N36" s="15">
        <f>SQRT($I$16*R32)</f>
        <v>0.67560298544292563</v>
      </c>
      <c r="O36" s="15">
        <f>ABS(S32/N36)</f>
        <v>1.6035058409682716</v>
      </c>
      <c r="P36" s="15">
        <f>$H$16</f>
        <v>44</v>
      </c>
      <c r="Q36" s="15">
        <f>TDIST(O36,P36,2)</f>
        <v>0.1159782554107413</v>
      </c>
      <c r="R36" s="16" t="str">
        <f>IF(Q36&lt;S34,"yes","no")</f>
        <v>no</v>
      </c>
      <c r="S36" s="16">
        <f>TINV(S34,P36)</f>
        <v>2.0153675744437649</v>
      </c>
      <c r="T36" s="16">
        <f>S32-N36*S36</f>
        <v>-0.27825501672574182</v>
      </c>
      <c r="U36" s="16">
        <f>S32+N36*S36</f>
        <v>2.4449216833924088</v>
      </c>
    </row>
    <row r="38" spans="14:21" ht="15" thickBot="1" x14ac:dyDescent="0.4">
      <c r="N38" t="s">
        <v>78</v>
      </c>
      <c r="R38" s="2" t="s">
        <v>35</v>
      </c>
      <c r="S38" s="2">
        <f>S34/$H$15</f>
        <v>1.6666666666666666E-2</v>
      </c>
    </row>
    <row r="39" spans="14:21" ht="15" thickTop="1" x14ac:dyDescent="0.35">
      <c r="N39" s="12" t="s">
        <v>46</v>
      </c>
      <c r="O39" s="12" t="s">
        <v>47</v>
      </c>
      <c r="P39" s="12" t="s">
        <v>22</v>
      </c>
      <c r="Q39" s="12" t="s">
        <v>17</v>
      </c>
      <c r="R39" s="12" t="s">
        <v>48</v>
      </c>
      <c r="S39" s="12" t="s">
        <v>50</v>
      </c>
      <c r="T39" s="12" t="s">
        <v>51</v>
      </c>
      <c r="U39" s="12" t="s">
        <v>52</v>
      </c>
    </row>
    <row r="40" spans="14:21" x14ac:dyDescent="0.35">
      <c r="N40" s="15">
        <f>N36</f>
        <v>0.67560298544292563</v>
      </c>
      <c r="O40" s="15">
        <f>O36</f>
        <v>1.6035058409682716</v>
      </c>
      <c r="P40" s="15">
        <f>P36</f>
        <v>44</v>
      </c>
      <c r="Q40" s="15">
        <f>TDIST(O40,P40,2)</f>
        <v>0.1159782554107413</v>
      </c>
      <c r="R40" s="16" t="str">
        <f>IF(Q40&lt;S38,"yes","no")</f>
        <v>no</v>
      </c>
      <c r="S40" s="16">
        <f>TINV(S38,P40)</f>
        <v>2.4889679492395662</v>
      </c>
      <c r="T40" s="16">
        <f>S32-N40*S40</f>
        <v>-0.59822084384467367</v>
      </c>
      <c r="U40" s="16">
        <f>S32+N40*S40</f>
        <v>2.7648875105113406</v>
      </c>
    </row>
    <row r="42" spans="14:21" ht="15" thickBot="1" x14ac:dyDescent="0.4">
      <c r="N42" s="27" t="s">
        <v>79</v>
      </c>
      <c r="R42" s="2" t="s">
        <v>35</v>
      </c>
      <c r="S42" s="2">
        <f>1-(1-S34)^(1/$H$15)</f>
        <v>1.6952427508441503E-2</v>
      </c>
    </row>
    <row r="43" spans="14:21" ht="15" thickTop="1" x14ac:dyDescent="0.35">
      <c r="N43" s="12" t="s">
        <v>46</v>
      </c>
      <c r="O43" s="12" t="s">
        <v>47</v>
      </c>
      <c r="P43" s="12" t="s">
        <v>22</v>
      </c>
      <c r="Q43" s="12" t="s">
        <v>17</v>
      </c>
      <c r="R43" s="12" t="s">
        <v>48</v>
      </c>
      <c r="S43" s="12" t="s">
        <v>50</v>
      </c>
      <c r="T43" s="12" t="s">
        <v>51</v>
      </c>
      <c r="U43" s="12" t="s">
        <v>52</v>
      </c>
    </row>
    <row r="44" spans="14:21" x14ac:dyDescent="0.35">
      <c r="N44" s="15">
        <f>N36</f>
        <v>0.67560298544292563</v>
      </c>
      <c r="O44" s="15">
        <f>O36</f>
        <v>1.6035058409682716</v>
      </c>
      <c r="P44" s="15">
        <f>P36</f>
        <v>44</v>
      </c>
      <c r="Q44" s="15">
        <f>TDIST(O44,P44,2)</f>
        <v>0.1159782554107413</v>
      </c>
      <c r="R44" s="16" t="str">
        <f>IF(Q44&lt;S42,"yes","no")</f>
        <v>no</v>
      </c>
      <c r="S44" s="16">
        <f>TINV(S42,P44)</f>
        <v>2.4820442076580118</v>
      </c>
      <c r="T44" s="16">
        <f>S32-N44*S44</f>
        <v>-0.59354314336174019</v>
      </c>
      <c r="U44" s="16">
        <f>S32+N44*S44</f>
        <v>2.7602098100284072</v>
      </c>
    </row>
    <row r="47" spans="14:21" ht="15" thickBot="1" x14ac:dyDescent="0.4">
      <c r="N47" t="s">
        <v>34</v>
      </c>
    </row>
    <row r="48" spans="14:21" ht="15" thickTop="1" x14ac:dyDescent="0.35">
      <c r="N48" s="12" t="s">
        <v>8</v>
      </c>
      <c r="O48" s="12" t="s">
        <v>37</v>
      </c>
      <c r="P48" s="12" t="s">
        <v>38</v>
      </c>
      <c r="Q48" s="12" t="s">
        <v>39</v>
      </c>
      <c r="R48" s="12" t="s">
        <v>40</v>
      </c>
      <c r="S48" s="12" t="s">
        <v>41</v>
      </c>
    </row>
    <row r="49" spans="14:21" x14ac:dyDescent="0.35">
      <c r="N49" t="s">
        <v>72</v>
      </c>
      <c r="O49">
        <v>0</v>
      </c>
      <c r="P49">
        <f>$I$7</f>
        <v>4.25</v>
      </c>
      <c r="Q49">
        <f>$G$7</f>
        <v>12</v>
      </c>
      <c r="R49">
        <f>O49^2/Q49</f>
        <v>0</v>
      </c>
      <c r="S49">
        <f>O49*P49</f>
        <v>0</v>
      </c>
    </row>
    <row r="50" spans="14:21" x14ac:dyDescent="0.35">
      <c r="N50" t="s">
        <v>73</v>
      </c>
      <c r="O50">
        <v>0</v>
      </c>
      <c r="P50">
        <f>$I$8</f>
        <v>3.1666666666666665</v>
      </c>
      <c r="Q50">
        <f>$G$8</f>
        <v>12</v>
      </c>
      <c r="R50">
        <f>O50^2/Q50</f>
        <v>0</v>
      </c>
      <c r="S50">
        <f>O50*P50</f>
        <v>0</v>
      </c>
    </row>
    <row r="51" spans="14:21" x14ac:dyDescent="0.35">
      <c r="N51" t="s">
        <v>75</v>
      </c>
      <c r="O51">
        <v>1</v>
      </c>
      <c r="P51">
        <f>$I$9</f>
        <v>5.583333333333333</v>
      </c>
      <c r="Q51">
        <f>$G$9</f>
        <v>12</v>
      </c>
      <c r="R51">
        <f>O51^2/Q51</f>
        <v>8.3333333333333329E-2</v>
      </c>
      <c r="S51">
        <f>O51*P51</f>
        <v>5.583333333333333</v>
      </c>
    </row>
    <row r="52" spans="14:21" x14ac:dyDescent="0.35">
      <c r="N52" s="13" t="s">
        <v>77</v>
      </c>
      <c r="O52" s="13">
        <v>-1</v>
      </c>
      <c r="P52" s="13">
        <f>$I$10</f>
        <v>3.8333333333333335</v>
      </c>
      <c r="Q52" s="13">
        <f>$G$10</f>
        <v>12</v>
      </c>
      <c r="R52" s="13">
        <f>O52^2/Q52</f>
        <v>8.3333333333333329E-2</v>
      </c>
      <c r="S52" s="13">
        <f>O52*P52</f>
        <v>-3.8333333333333335</v>
      </c>
    </row>
    <row r="53" spans="14:21" x14ac:dyDescent="0.35">
      <c r="R53">
        <f>SUM(R49:R52)</f>
        <v>0.16666666666666666</v>
      </c>
      <c r="S53">
        <f>SUM(S49:S52)</f>
        <v>1.7499999999999996</v>
      </c>
    </row>
    <row r="55" spans="14:21" ht="15" thickBot="1" x14ac:dyDescent="0.4">
      <c r="N55" t="s">
        <v>42</v>
      </c>
      <c r="R55" s="2" t="s">
        <v>35</v>
      </c>
      <c r="S55" s="2">
        <v>0.05</v>
      </c>
    </row>
    <row r="56" spans="14:21" ht="15" thickTop="1" x14ac:dyDescent="0.35">
      <c r="N56" s="12" t="s">
        <v>46</v>
      </c>
      <c r="O56" s="12" t="s">
        <v>47</v>
      </c>
      <c r="P56" s="12" t="s">
        <v>22</v>
      </c>
      <c r="Q56" s="12" t="s">
        <v>17</v>
      </c>
      <c r="R56" s="12" t="s">
        <v>48</v>
      </c>
      <c r="S56" s="12" t="s">
        <v>50</v>
      </c>
      <c r="T56" s="12" t="s">
        <v>51</v>
      </c>
      <c r="U56" s="12" t="s">
        <v>52</v>
      </c>
    </row>
    <row r="57" spans="14:21" x14ac:dyDescent="0.35">
      <c r="N57" s="15">
        <f>SQRT($I$16*R53)</f>
        <v>0.67560298544292563</v>
      </c>
      <c r="O57" s="15">
        <f>ABS(S53/N57)</f>
        <v>2.5902786661795147</v>
      </c>
      <c r="P57" s="15">
        <f>$H$16</f>
        <v>44</v>
      </c>
      <c r="Q57" s="15">
        <f>TDIST(O57,P57,2)</f>
        <v>1.295706923393301E-2</v>
      </c>
      <c r="R57" s="16" t="str">
        <f>IF(Q57&lt;S55,"yes","no")</f>
        <v>yes</v>
      </c>
      <c r="S57" s="16">
        <f>TINV(S55,P57)</f>
        <v>2.0153675744437649</v>
      </c>
      <c r="T57" s="16">
        <f>S53-N57*S57</f>
        <v>0.38841164994092425</v>
      </c>
      <c r="U57" s="16">
        <f>S53+N57*S57</f>
        <v>3.1115883500590749</v>
      </c>
    </row>
    <row r="59" spans="14:21" ht="15" thickBot="1" x14ac:dyDescent="0.4">
      <c r="N59" t="s">
        <v>78</v>
      </c>
      <c r="R59" s="2" t="s">
        <v>35</v>
      </c>
      <c r="S59" s="2">
        <f>S55/$H$15</f>
        <v>1.6666666666666666E-2</v>
      </c>
    </row>
    <row r="60" spans="14:21" ht="15" thickTop="1" x14ac:dyDescent="0.35">
      <c r="N60" s="12" t="s">
        <v>46</v>
      </c>
      <c r="O60" s="12" t="s">
        <v>47</v>
      </c>
      <c r="P60" s="12" t="s">
        <v>22</v>
      </c>
      <c r="Q60" s="12" t="s">
        <v>17</v>
      </c>
      <c r="R60" s="12" t="s">
        <v>48</v>
      </c>
      <c r="S60" s="12" t="s">
        <v>50</v>
      </c>
      <c r="T60" s="12" t="s">
        <v>51</v>
      </c>
      <c r="U60" s="12" t="s">
        <v>52</v>
      </c>
    </row>
    <row r="61" spans="14:21" x14ac:dyDescent="0.35">
      <c r="N61" s="15">
        <f>N57</f>
        <v>0.67560298544292563</v>
      </c>
      <c r="O61" s="15">
        <f>O57</f>
        <v>2.5902786661795147</v>
      </c>
      <c r="P61" s="15">
        <f>P57</f>
        <v>44</v>
      </c>
      <c r="Q61" s="15">
        <f>TDIST(O61,P61,2)</f>
        <v>1.295706923393301E-2</v>
      </c>
      <c r="R61" s="16" t="str">
        <f>IF(Q61&lt;S59,"yes","no")</f>
        <v>yes</v>
      </c>
      <c r="S61" s="16">
        <f>TINV(S59,P61)</f>
        <v>2.4889679492395662</v>
      </c>
      <c r="T61" s="16">
        <f>S53-N61*S61</f>
        <v>6.8445822821992408E-2</v>
      </c>
      <c r="U61" s="16">
        <f>S53+N61*S61</f>
        <v>3.4315541771780067</v>
      </c>
    </row>
    <row r="63" spans="14:21" ht="15" thickBot="1" x14ac:dyDescent="0.4">
      <c r="N63" s="27" t="s">
        <v>79</v>
      </c>
      <c r="R63" s="2" t="s">
        <v>35</v>
      </c>
      <c r="S63" s="2">
        <f>1-(1-S55)^(1/$H$15)</f>
        <v>1.6952427508441503E-2</v>
      </c>
    </row>
    <row r="64" spans="14:21" ht="15" thickTop="1" x14ac:dyDescent="0.35">
      <c r="N64" s="12" t="s">
        <v>46</v>
      </c>
      <c r="O64" s="12" t="s">
        <v>47</v>
      </c>
      <c r="P64" s="12" t="s">
        <v>22</v>
      </c>
      <c r="Q64" s="12" t="s">
        <v>17</v>
      </c>
      <c r="R64" s="12" t="s">
        <v>48</v>
      </c>
      <c r="S64" s="12" t="s">
        <v>50</v>
      </c>
      <c r="T64" s="12" t="s">
        <v>51</v>
      </c>
      <c r="U64" s="12" t="s">
        <v>52</v>
      </c>
    </row>
    <row r="65" spans="14:21" x14ac:dyDescent="0.35">
      <c r="N65" s="15">
        <f>N57</f>
        <v>0.67560298544292563</v>
      </c>
      <c r="O65" s="15">
        <f>O57</f>
        <v>2.5902786661795147</v>
      </c>
      <c r="P65" s="15">
        <f>P57</f>
        <v>44</v>
      </c>
      <c r="Q65" s="15">
        <f>TDIST(O65,P65,2)</f>
        <v>1.295706923393301E-2</v>
      </c>
      <c r="R65" s="16" t="str">
        <f>IF(Q65&lt;S63,"yes","no")</f>
        <v>yes</v>
      </c>
      <c r="S65" s="16">
        <f>TINV(S63,P65)</f>
        <v>2.4820442076580118</v>
      </c>
      <c r="T65" s="16">
        <f>S53-N65*S65</f>
        <v>7.3123523304925886E-2</v>
      </c>
      <c r="U65" s="16">
        <f>S53+N65*S65</f>
        <v>3.4268764766950732</v>
      </c>
    </row>
    <row r="68" spans="14:21" ht="15" thickBot="1" x14ac:dyDescent="0.4">
      <c r="N68" t="s">
        <v>34</v>
      </c>
    </row>
    <row r="69" spans="14:21" ht="15" thickTop="1" x14ac:dyDescent="0.35">
      <c r="N69" s="12" t="s">
        <v>8</v>
      </c>
      <c r="O69" s="12" t="s">
        <v>37</v>
      </c>
      <c r="P69" s="12" t="s">
        <v>38</v>
      </c>
      <c r="Q69" s="12" t="s">
        <v>39</v>
      </c>
      <c r="R69" s="12" t="s">
        <v>40</v>
      </c>
      <c r="S69" s="12" t="s">
        <v>41</v>
      </c>
    </row>
    <row r="70" spans="14:21" x14ac:dyDescent="0.35">
      <c r="N70" t="s">
        <v>72</v>
      </c>
      <c r="O70">
        <v>-0.5</v>
      </c>
      <c r="P70">
        <f>$I$7</f>
        <v>4.25</v>
      </c>
      <c r="Q70">
        <f>$G$7</f>
        <v>12</v>
      </c>
      <c r="R70">
        <f>O70^2/Q70</f>
        <v>2.0833333333333332E-2</v>
      </c>
      <c r="S70">
        <f>O70*P70</f>
        <v>-2.125</v>
      </c>
    </row>
    <row r="71" spans="14:21" x14ac:dyDescent="0.35">
      <c r="N71" t="s">
        <v>73</v>
      </c>
      <c r="O71">
        <v>-0.5</v>
      </c>
      <c r="P71">
        <f>$I$8</f>
        <v>3.1666666666666665</v>
      </c>
      <c r="Q71">
        <f>$G$8</f>
        <v>12</v>
      </c>
      <c r="R71">
        <f>O71^2/Q71</f>
        <v>2.0833333333333332E-2</v>
      </c>
      <c r="S71">
        <f>O71*P71</f>
        <v>-1.5833333333333333</v>
      </c>
    </row>
    <row r="72" spans="14:21" x14ac:dyDescent="0.35">
      <c r="N72" t="s">
        <v>75</v>
      </c>
      <c r="O72">
        <v>0.5</v>
      </c>
      <c r="P72">
        <f>$I$9</f>
        <v>5.583333333333333</v>
      </c>
      <c r="Q72">
        <f>$G$9</f>
        <v>12</v>
      </c>
      <c r="R72">
        <f>O72^2/Q72</f>
        <v>2.0833333333333332E-2</v>
      </c>
      <c r="S72">
        <f>O72*P72</f>
        <v>2.7916666666666665</v>
      </c>
    </row>
    <row r="73" spans="14:21" x14ac:dyDescent="0.35">
      <c r="N73" s="13" t="s">
        <v>77</v>
      </c>
      <c r="O73" s="13">
        <v>0.5</v>
      </c>
      <c r="P73" s="13">
        <f>$I$10</f>
        <v>3.8333333333333335</v>
      </c>
      <c r="Q73" s="13">
        <f>$G$10</f>
        <v>12</v>
      </c>
      <c r="R73" s="13">
        <f>O73^2/Q73</f>
        <v>2.0833333333333332E-2</v>
      </c>
      <c r="S73" s="13">
        <f>O73*P73</f>
        <v>1.9166666666666667</v>
      </c>
    </row>
    <row r="74" spans="14:21" x14ac:dyDescent="0.35">
      <c r="R74">
        <f>SUM(R70:R73)</f>
        <v>8.3333333333333329E-2</v>
      </c>
      <c r="S74">
        <f>SUM(S70:S73)</f>
        <v>1.0000000000000002</v>
      </c>
    </row>
    <row r="76" spans="14:21" ht="15" thickBot="1" x14ac:dyDescent="0.4">
      <c r="N76" t="s">
        <v>42</v>
      </c>
      <c r="R76" s="2" t="s">
        <v>35</v>
      </c>
      <c r="S76" s="2">
        <v>0.05</v>
      </c>
    </row>
    <row r="77" spans="14:21" ht="15" thickTop="1" x14ac:dyDescent="0.35">
      <c r="N77" s="12" t="s">
        <v>46</v>
      </c>
      <c r="O77" s="12" t="s">
        <v>47</v>
      </c>
      <c r="P77" s="12" t="s">
        <v>22</v>
      </c>
      <c r="Q77" s="12" t="s">
        <v>17</v>
      </c>
      <c r="R77" s="12" t="s">
        <v>48</v>
      </c>
      <c r="S77" s="12" t="s">
        <v>50</v>
      </c>
      <c r="T77" s="12" t="s">
        <v>51</v>
      </c>
      <c r="U77" s="12" t="s">
        <v>52</v>
      </c>
    </row>
    <row r="78" spans="14:21" x14ac:dyDescent="0.35">
      <c r="N78" s="15">
        <f>SQRT($I$16*R74)</f>
        <v>0.47772345239656905</v>
      </c>
      <c r="O78" s="15">
        <f>ABS(S74/N78)</f>
        <v>2.0932612685924359</v>
      </c>
      <c r="P78" s="15">
        <f>$H$16</f>
        <v>44</v>
      </c>
      <c r="Q78" s="15">
        <f>TDIST(O78,P78,2)</f>
        <v>4.2123653011693532E-2</v>
      </c>
      <c r="R78" s="16" t="str">
        <f>IF(Q78&lt;S76,"yes","no")</f>
        <v>yes</v>
      </c>
      <c r="S78" s="16">
        <f>TINV(S76,P78)</f>
        <v>2.0153675744437649</v>
      </c>
      <c r="T78" s="16">
        <f>S74-N78*S78</f>
        <v>3.7211644488625462E-2</v>
      </c>
      <c r="U78" s="16">
        <f>S74+N78*S78</f>
        <v>1.962788355511375</v>
      </c>
    </row>
    <row r="80" spans="14:21" ht="15" thickBot="1" x14ac:dyDescent="0.4">
      <c r="N80" t="s">
        <v>78</v>
      </c>
      <c r="R80" s="2" t="s">
        <v>35</v>
      </c>
      <c r="S80" s="2">
        <f>S76/$H$15</f>
        <v>1.6666666666666666E-2</v>
      </c>
    </row>
    <row r="81" spans="14:21" ht="15" thickTop="1" x14ac:dyDescent="0.35">
      <c r="N81" s="12" t="s">
        <v>46</v>
      </c>
      <c r="O81" s="12" t="s">
        <v>47</v>
      </c>
      <c r="P81" s="12" t="s">
        <v>22</v>
      </c>
      <c r="Q81" s="12" t="s">
        <v>17</v>
      </c>
      <c r="R81" s="12" t="s">
        <v>48</v>
      </c>
      <c r="S81" s="12" t="s">
        <v>50</v>
      </c>
      <c r="T81" s="12" t="s">
        <v>51</v>
      </c>
      <c r="U81" s="12" t="s">
        <v>52</v>
      </c>
    </row>
    <row r="82" spans="14:21" x14ac:dyDescent="0.35">
      <c r="N82" s="15">
        <f>N78</f>
        <v>0.47772345239656905</v>
      </c>
      <c r="O82" s="15">
        <f>O78</f>
        <v>2.0932612685924359</v>
      </c>
      <c r="P82" s="15">
        <f>P78</f>
        <v>44</v>
      </c>
      <c r="Q82" s="15">
        <f>TDIST(O82,P82,2)</f>
        <v>4.2123653011693532E-2</v>
      </c>
      <c r="R82" s="16" t="str">
        <f>IF(Q82&lt;S80,"yes","no")</f>
        <v>no</v>
      </c>
      <c r="S82" s="16">
        <f>TINV(S80,P82)</f>
        <v>2.4889679492395662</v>
      </c>
      <c r="T82" s="16">
        <f>S74-N82*S82</f>
        <v>-0.18903836161513388</v>
      </c>
      <c r="U82" s="16">
        <f>S74+N82*S82</f>
        <v>2.1890383616151343</v>
      </c>
    </row>
    <row r="84" spans="14:21" ht="15" thickBot="1" x14ac:dyDescent="0.4">
      <c r="N84" s="27" t="s">
        <v>79</v>
      </c>
      <c r="R84" s="2" t="s">
        <v>35</v>
      </c>
      <c r="S84" s="2">
        <f>1-(1-S76)^(1/$H$15)</f>
        <v>1.6952427508441503E-2</v>
      </c>
    </row>
    <row r="85" spans="14:21" ht="15" thickTop="1" x14ac:dyDescent="0.35">
      <c r="N85" s="12" t="s">
        <v>46</v>
      </c>
      <c r="O85" s="12" t="s">
        <v>47</v>
      </c>
      <c r="P85" s="12" t="s">
        <v>22</v>
      </c>
      <c r="Q85" s="12" t="s">
        <v>17</v>
      </c>
      <c r="R85" s="12" t="s">
        <v>48</v>
      </c>
      <c r="S85" s="12" t="s">
        <v>50</v>
      </c>
      <c r="T85" s="12" t="s">
        <v>51</v>
      </c>
      <c r="U85" s="12" t="s">
        <v>52</v>
      </c>
    </row>
    <row r="86" spans="14:21" x14ac:dyDescent="0.35">
      <c r="N86" s="15">
        <f>N78</f>
        <v>0.47772345239656905</v>
      </c>
      <c r="O86" s="15">
        <f>O78</f>
        <v>2.0932612685924359</v>
      </c>
      <c r="P86" s="15">
        <f>P78</f>
        <v>44</v>
      </c>
      <c r="Q86" s="15">
        <f>TDIST(O86,P86,2)</f>
        <v>4.2123653011693532E-2</v>
      </c>
      <c r="R86" s="16" t="str">
        <f>IF(Q86&lt;S84,"yes","no")</f>
        <v>no</v>
      </c>
      <c r="S86" s="16">
        <f>TINV(S84,P86)</f>
        <v>2.4820442076580118</v>
      </c>
      <c r="T86" s="16">
        <f>S74-N86*S86</f>
        <v>-0.18573072788329203</v>
      </c>
      <c r="U86" s="16">
        <f>S74+N86*S86</f>
        <v>2.1857307278832927</v>
      </c>
    </row>
    <row r="89" spans="14:21" ht="15" thickBot="1" x14ac:dyDescent="0.4">
      <c r="N89" t="s">
        <v>34</v>
      </c>
    </row>
    <row r="90" spans="14:21" ht="15" thickTop="1" x14ac:dyDescent="0.35">
      <c r="N90" s="12" t="s">
        <v>8</v>
      </c>
      <c r="O90" s="12" t="s">
        <v>37</v>
      </c>
      <c r="P90" s="12" t="s">
        <v>38</v>
      </c>
      <c r="Q90" s="12" t="s">
        <v>39</v>
      </c>
      <c r="R90" s="12" t="s">
        <v>40</v>
      </c>
      <c r="S90" s="12" t="s">
        <v>41</v>
      </c>
    </row>
    <row r="91" spans="14:21" x14ac:dyDescent="0.35">
      <c r="N91" t="s">
        <v>72</v>
      </c>
      <c r="O91">
        <v>1</v>
      </c>
      <c r="P91">
        <f>$I$7</f>
        <v>4.25</v>
      </c>
      <c r="Q91">
        <f>$G$7</f>
        <v>12</v>
      </c>
      <c r="R91">
        <f>O91^2/Q91</f>
        <v>8.3333333333333329E-2</v>
      </c>
      <c r="S91">
        <f>O91*P91</f>
        <v>4.25</v>
      </c>
    </row>
    <row r="92" spans="14:21" x14ac:dyDescent="0.35">
      <c r="N92" t="s">
        <v>73</v>
      </c>
      <c r="O92">
        <v>0</v>
      </c>
      <c r="P92">
        <f>$I$8</f>
        <v>3.1666666666666665</v>
      </c>
      <c r="Q92">
        <f>$G$8</f>
        <v>12</v>
      </c>
      <c r="R92">
        <f>O92^2/Q92</f>
        <v>0</v>
      </c>
      <c r="S92">
        <f>O92*P92</f>
        <v>0</v>
      </c>
    </row>
    <row r="93" spans="14:21" x14ac:dyDescent="0.35">
      <c r="N93" t="s">
        <v>75</v>
      </c>
      <c r="O93">
        <v>-1</v>
      </c>
      <c r="P93">
        <f>$I$9</f>
        <v>5.583333333333333</v>
      </c>
      <c r="Q93">
        <f>$G$9</f>
        <v>12</v>
      </c>
      <c r="R93">
        <f>O93^2/Q93</f>
        <v>8.3333333333333329E-2</v>
      </c>
      <c r="S93">
        <f>O93*P93</f>
        <v>-5.583333333333333</v>
      </c>
    </row>
    <row r="94" spans="14:21" x14ac:dyDescent="0.35">
      <c r="N94" s="13" t="s">
        <v>77</v>
      </c>
      <c r="O94" s="13">
        <v>0</v>
      </c>
      <c r="P94" s="13">
        <f>$I$10</f>
        <v>3.8333333333333335</v>
      </c>
      <c r="Q94" s="13">
        <f>$G$10</f>
        <v>12</v>
      </c>
      <c r="R94" s="13">
        <f>O94^2/Q94</f>
        <v>0</v>
      </c>
      <c r="S94" s="13">
        <f>O94*P94</f>
        <v>0</v>
      </c>
    </row>
    <row r="95" spans="14:21" x14ac:dyDescent="0.35">
      <c r="R95">
        <f>SUM(R91:R94)</f>
        <v>0.16666666666666666</v>
      </c>
      <c r="S95">
        <f>SUM(S91:S94)</f>
        <v>-1.333333333333333</v>
      </c>
    </row>
    <row r="97" spans="14:21" ht="15" thickBot="1" x14ac:dyDescent="0.4">
      <c r="N97" t="s">
        <v>42</v>
      </c>
      <c r="R97" s="2" t="s">
        <v>35</v>
      </c>
      <c r="S97" s="2">
        <v>0.05</v>
      </c>
    </row>
    <row r="98" spans="14:21" ht="15" thickTop="1" x14ac:dyDescent="0.35">
      <c r="N98" s="12" t="s">
        <v>46</v>
      </c>
      <c r="O98" s="12" t="s">
        <v>47</v>
      </c>
      <c r="P98" s="12" t="s">
        <v>22</v>
      </c>
      <c r="Q98" s="12" t="s">
        <v>17</v>
      </c>
      <c r="R98" s="12" t="s">
        <v>48</v>
      </c>
      <c r="S98" s="12" t="s">
        <v>50</v>
      </c>
      <c r="T98" s="12" t="s">
        <v>51</v>
      </c>
      <c r="U98" s="12" t="s">
        <v>52</v>
      </c>
    </row>
    <row r="99" spans="14:21" x14ac:dyDescent="0.35">
      <c r="N99" s="15">
        <f>SQRT($I$16*R95)</f>
        <v>0.67560298544292563</v>
      </c>
      <c r="O99" s="15">
        <f>ABS(S95/N99)</f>
        <v>1.9735456504224875</v>
      </c>
      <c r="P99" s="15">
        <f>$H$16</f>
        <v>44</v>
      </c>
      <c r="Q99" s="15">
        <f>TDIST(O99,P99,2)</f>
        <v>5.4734006390896719E-2</v>
      </c>
      <c r="R99" s="16" t="str">
        <f>IF(Q99&lt;S97,"yes","no")</f>
        <v>no</v>
      </c>
      <c r="S99" s="16">
        <f>TINV(S97,P99)</f>
        <v>2.0153675744437649</v>
      </c>
      <c r="T99" s="16">
        <f>S95-N99*S99</f>
        <v>-2.6949216833924083</v>
      </c>
      <c r="U99" s="16">
        <f>S95+N99*S99</f>
        <v>2.8255016725742266E-2</v>
      </c>
    </row>
    <row r="101" spans="14:21" ht="15" thickBot="1" x14ac:dyDescent="0.4">
      <c r="N101" t="s">
        <v>78</v>
      </c>
      <c r="R101" s="2" t="s">
        <v>35</v>
      </c>
      <c r="S101" s="2">
        <f>S97/$H$15</f>
        <v>1.6666666666666666E-2</v>
      </c>
    </row>
    <row r="102" spans="14:21" ht="15" thickTop="1" x14ac:dyDescent="0.35">
      <c r="N102" s="12" t="s">
        <v>46</v>
      </c>
      <c r="O102" s="12" t="s">
        <v>47</v>
      </c>
      <c r="P102" s="12" t="s">
        <v>22</v>
      </c>
      <c r="Q102" s="12" t="s">
        <v>17</v>
      </c>
      <c r="R102" s="12" t="s">
        <v>48</v>
      </c>
      <c r="S102" s="12" t="s">
        <v>50</v>
      </c>
      <c r="T102" s="12" t="s">
        <v>51</v>
      </c>
      <c r="U102" s="12" t="s">
        <v>52</v>
      </c>
    </row>
    <row r="103" spans="14:21" x14ac:dyDescent="0.35">
      <c r="N103" s="15">
        <f>N99</f>
        <v>0.67560298544292563</v>
      </c>
      <c r="O103" s="15">
        <f>O99</f>
        <v>1.9735456504224875</v>
      </c>
      <c r="P103" s="15">
        <f>P99</f>
        <v>44</v>
      </c>
      <c r="Q103" s="15">
        <f>TDIST(O103,P103,2)</f>
        <v>5.4734006390896719E-2</v>
      </c>
      <c r="R103" s="16" t="str">
        <f>IF(Q103&lt;S101,"yes","no")</f>
        <v>no</v>
      </c>
      <c r="S103" s="16">
        <f>TINV(S101,P103)</f>
        <v>2.4889679492395662</v>
      </c>
      <c r="T103" s="16">
        <f>S95-N103*S103</f>
        <v>-3.0148875105113402</v>
      </c>
      <c r="U103" s="16">
        <f>S95+N103*S103</f>
        <v>0.34822084384467411</v>
      </c>
    </row>
    <row r="105" spans="14:21" ht="15" thickBot="1" x14ac:dyDescent="0.4">
      <c r="N105" s="27" t="s">
        <v>79</v>
      </c>
      <c r="R105" s="2" t="s">
        <v>35</v>
      </c>
      <c r="S105" s="2">
        <f>1-(1-S97)^(1/$H$15)</f>
        <v>1.6952427508441503E-2</v>
      </c>
    </row>
    <row r="106" spans="14:21" ht="15" thickTop="1" x14ac:dyDescent="0.35">
      <c r="N106" s="12" t="s">
        <v>46</v>
      </c>
      <c r="O106" s="12" t="s">
        <v>47</v>
      </c>
      <c r="P106" s="12" t="s">
        <v>22</v>
      </c>
      <c r="Q106" s="12" t="s">
        <v>17</v>
      </c>
      <c r="R106" s="12" t="s">
        <v>48</v>
      </c>
      <c r="S106" s="12" t="s">
        <v>50</v>
      </c>
      <c r="T106" s="12" t="s">
        <v>51</v>
      </c>
      <c r="U106" s="12" t="s">
        <v>52</v>
      </c>
    </row>
    <row r="107" spans="14:21" x14ac:dyDescent="0.35">
      <c r="N107" s="15">
        <f>N99</f>
        <v>0.67560298544292563</v>
      </c>
      <c r="O107" s="15">
        <f>O99</f>
        <v>1.9735456504224875</v>
      </c>
      <c r="P107" s="15">
        <f>P99</f>
        <v>44</v>
      </c>
      <c r="Q107" s="15">
        <f>TDIST(O107,P107,2)</f>
        <v>5.4734006390896719E-2</v>
      </c>
      <c r="R107" s="16" t="str">
        <f>IF(Q107&lt;S105,"yes","no")</f>
        <v>no</v>
      </c>
      <c r="S107" s="16">
        <f>TINV(S105,P107)</f>
        <v>2.4820442076580118</v>
      </c>
      <c r="T107" s="16">
        <f>S95-N107*S107</f>
        <v>-3.0102098100284067</v>
      </c>
      <c r="U107" s="16">
        <f>S95+N107*S107</f>
        <v>0.34354314336174063</v>
      </c>
    </row>
  </sheetData>
  <mergeCells count="2">
    <mergeCell ref="A3:B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Contrast 1</vt:lpstr>
      <vt:lpstr>Contrast 2</vt:lpstr>
      <vt:lpstr>Contrast 2a</vt:lpstr>
      <vt:lpstr>Contrast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2024-06-29T13:28:36Z</dcterms:created>
  <dcterms:modified xsi:type="dcterms:W3CDTF">2024-06-29T13:31:34Z</dcterms:modified>
</cp:coreProperties>
</file>