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2447A113-8B6D-43FE-BAA1-16215D5C12B1}" xr6:coauthVersionLast="47" xr6:coauthVersionMax="47" xr10:uidLastSave="{00000000-0000-0000-0000-000000000000}"/>
  <bookViews>
    <workbookView xWindow="-110" yWindow="-110" windowWidth="19420" windowHeight="10300" xr2:uid="{FF5CC2F7-1E93-4E05-90C7-55B40FEFEF16}"/>
  </bookViews>
  <sheets>
    <sheet name="Title" sheetId="3" r:id="rId1"/>
    <sheet name="KW Test" sheetId="1" r:id="rId2"/>
    <sheet name="Normality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I13" i="2"/>
  <c r="X10" i="2" a="1"/>
  <c r="X26" i="2" s="1"/>
  <c r="I7" i="2"/>
  <c r="I6" i="2"/>
  <c r="F4" i="2" a="1"/>
  <c r="F4" i="2" s="1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11" i="2"/>
  <c r="I5" i="2"/>
  <c r="X19" i="2" l="1"/>
  <c r="X20" i="2"/>
  <c r="X24" i="2"/>
  <c r="X27" i="2"/>
  <c r="X28" i="2"/>
  <c r="X29" i="2"/>
  <c r="X30" i="2"/>
  <c r="X12" i="2"/>
  <c r="X31" i="2"/>
  <c r="X15" i="2"/>
  <c r="X32" i="2"/>
  <c r="X16" i="2"/>
  <c r="X36" i="2"/>
  <c r="X17" i="2"/>
  <c r="X18" i="2"/>
  <c r="X6" i="2"/>
  <c r="X7" i="2"/>
  <c r="X5" i="2"/>
  <c r="Y5" i="2" s="1"/>
  <c r="X21" i="2"/>
  <c r="X33" i="2"/>
  <c r="X10" i="2"/>
  <c r="X22" i="2"/>
  <c r="X34" i="2"/>
  <c r="X11" i="2"/>
  <c r="X23" i="2"/>
  <c r="X35" i="2"/>
  <c r="X13" i="2"/>
  <c r="X25" i="2"/>
  <c r="X14" i="2"/>
  <c r="I9" i="2"/>
  <c r="I16" i="2"/>
  <c r="Z15" i="2" l="1"/>
  <c r="Z35" i="2"/>
  <c r="Z29" i="2"/>
  <c r="Z17" i="2"/>
  <c r="Z23" i="2"/>
  <c r="Z31" i="2"/>
  <c r="Z11" i="2"/>
  <c r="Z12" i="2"/>
  <c r="Z34" i="2"/>
  <c r="Z30" i="2"/>
  <c r="Z22" i="2"/>
  <c r="Z26" i="2"/>
  <c r="Z10" i="2"/>
  <c r="Z28" i="2"/>
  <c r="Z33" i="2"/>
  <c r="Z27" i="2"/>
  <c r="Z21" i="2"/>
  <c r="Z24" i="2"/>
  <c r="Z18" i="2"/>
  <c r="Z20" i="2"/>
  <c r="Z14" i="2"/>
  <c r="Z36" i="2"/>
  <c r="Z19" i="2"/>
  <c r="Z25" i="2"/>
  <c r="Z16" i="2"/>
  <c r="Y12" i="2"/>
  <c r="Y13" i="2"/>
  <c r="Y19" i="2"/>
  <c r="Y25" i="2"/>
  <c r="Y31" i="2"/>
  <c r="Y15" i="2"/>
  <c r="Y33" i="2"/>
  <c r="Y11" i="2"/>
  <c r="Y23" i="2"/>
  <c r="Y24" i="2"/>
  <c r="Y10" i="2"/>
  <c r="Y14" i="2"/>
  <c r="Y20" i="2"/>
  <c r="Y26" i="2"/>
  <c r="Y32" i="2"/>
  <c r="Y21" i="2"/>
  <c r="Y27" i="2"/>
  <c r="Y16" i="2"/>
  <c r="Y22" i="2"/>
  <c r="Y28" i="2"/>
  <c r="Y34" i="2"/>
  <c r="Y17" i="2"/>
  <c r="Y29" i="2"/>
  <c r="Y35" i="2"/>
  <c r="Y18" i="2"/>
  <c r="Y30" i="2"/>
  <c r="Y36" i="2"/>
  <c r="Z13" i="2"/>
  <c r="Z32" i="2"/>
  <c r="D15" i="2"/>
  <c r="C15" i="2"/>
  <c r="B15" i="2"/>
  <c r="D14" i="2"/>
  <c r="C14" i="2"/>
  <c r="B14" i="2"/>
  <c r="E50" i="1" a="1"/>
  <c r="F53" i="1" s="1"/>
  <c r="G48" i="1" a="1"/>
  <c r="G48" i="1" s="1"/>
  <c r="F48" i="1" a="1"/>
  <c r="F48" i="1" s="1"/>
  <c r="G47" i="1" a="1"/>
  <c r="G47" i="1" s="1"/>
  <c r="F47" i="1" a="1"/>
  <c r="F47" i="1" s="1"/>
  <c r="N28" i="1"/>
  <c r="N30" i="1" s="1"/>
  <c r="M28" i="1"/>
  <c r="M30" i="1" s="1"/>
  <c r="L28" i="1"/>
  <c r="L30" i="1" s="1"/>
  <c r="O30" i="1" s="1"/>
  <c r="N13" i="1"/>
  <c r="M13" i="1"/>
  <c r="L13" i="1"/>
  <c r="I13" i="1"/>
  <c r="I15" i="1" s="1"/>
  <c r="H13" i="1"/>
  <c r="H15" i="1" s="1"/>
  <c r="G13" i="1"/>
  <c r="G15" i="1" s="1"/>
  <c r="N12" i="1"/>
  <c r="M12" i="1"/>
  <c r="L12" i="1"/>
  <c r="I12" i="1"/>
  <c r="H12" i="1"/>
  <c r="G12" i="1"/>
  <c r="N11" i="1"/>
  <c r="M11" i="1"/>
  <c r="L11" i="1"/>
  <c r="N10" i="1"/>
  <c r="M10" i="1"/>
  <c r="L10" i="1"/>
  <c r="N9" i="1"/>
  <c r="M9" i="1"/>
  <c r="L9" i="1"/>
  <c r="N8" i="1"/>
  <c r="C30" i="1" s="1"/>
  <c r="M8" i="1"/>
  <c r="B30" i="1" s="1"/>
  <c r="L8" i="1"/>
  <c r="N7" i="1"/>
  <c r="C29" i="1" s="1"/>
  <c r="M7" i="1"/>
  <c r="B29" i="1" s="1"/>
  <c r="L7" i="1"/>
  <c r="N6" i="1"/>
  <c r="C28" i="1" s="1"/>
  <c r="M6" i="1"/>
  <c r="B28" i="1" s="1"/>
  <c r="B32" i="1" s="1"/>
  <c r="L6" i="1"/>
  <c r="I6" i="1"/>
  <c r="I8" i="1" s="1"/>
  <c r="H6" i="1"/>
  <c r="H8" i="1" s="1"/>
  <c r="G6" i="1"/>
  <c r="G8" i="1" s="1"/>
  <c r="N5" i="1"/>
  <c r="M5" i="1"/>
  <c r="L5" i="1"/>
  <c r="I5" i="1"/>
  <c r="H5" i="1"/>
  <c r="G5" i="1"/>
  <c r="N4" i="1"/>
  <c r="T38" i="1" s="1"/>
  <c r="M4" i="1"/>
  <c r="V37" i="1" s="1"/>
  <c r="L4" i="1"/>
  <c r="R63" i="1"/>
  <c r="R62" i="1"/>
  <c r="R64" i="1" s="1"/>
  <c r="H42" i="1"/>
  <c r="G42" i="1"/>
  <c r="Q38" i="1"/>
  <c r="I38" i="1"/>
  <c r="H38" i="1"/>
  <c r="G38" i="1"/>
  <c r="Q37" i="1"/>
  <c r="H37" i="1" a="1"/>
  <c r="H37" i="1" s="1"/>
  <c r="H30" i="1" s="1"/>
  <c r="Q36" i="1"/>
  <c r="S42" i="1" s="1"/>
  <c r="I36" i="1"/>
  <c r="I29" i="1" s="1"/>
  <c r="H36" i="1"/>
  <c r="G36" i="1"/>
  <c r="G37" i="1" s="1" a="1"/>
  <c r="G37" i="1" s="1"/>
  <c r="G30" i="1" s="1"/>
  <c r="I35" i="1"/>
  <c r="H35" i="1"/>
  <c r="H28" i="1" s="1"/>
  <c r="G35" i="1"/>
  <c r="G28" i="1" s="1"/>
  <c r="I34" i="1"/>
  <c r="I33" i="1" s="1" a="1"/>
  <c r="I33" i="1" s="1"/>
  <c r="H34" i="1"/>
  <c r="H33" i="1" s="1" a="1"/>
  <c r="H33" i="1" s="1"/>
  <c r="G34" i="1"/>
  <c r="G33" i="1" s="1" a="1"/>
  <c r="G33" i="1" s="1"/>
  <c r="B33" i="1"/>
  <c r="B35" i="1" s="1"/>
  <c r="N29" i="1"/>
  <c r="O29" i="1" s="1"/>
  <c r="M29" i="1"/>
  <c r="L29" i="1"/>
  <c r="H29" i="1"/>
  <c r="G29" i="1"/>
  <c r="I28" i="1"/>
  <c r="N27" i="1"/>
  <c r="M27" i="1"/>
  <c r="L27" i="1"/>
  <c r="N26" i="1"/>
  <c r="O33" i="1" s="1"/>
  <c r="M26" i="1"/>
  <c r="L26" i="1"/>
  <c r="I25" i="1"/>
  <c r="H25" i="1"/>
  <c r="G25" i="1"/>
  <c r="O18" i="1"/>
  <c r="D15" i="1"/>
  <c r="C15" i="1"/>
  <c r="B15" i="1"/>
  <c r="S14" i="1"/>
  <c r="R14" i="1"/>
  <c r="R12" i="1" s="1"/>
  <c r="D14" i="1"/>
  <c r="C14" i="1"/>
  <c r="B14" i="1"/>
  <c r="V8" i="1"/>
  <c r="U8" i="1"/>
  <c r="T8" i="1"/>
  <c r="S8" i="1"/>
  <c r="R8" i="1"/>
  <c r="Q8" i="1"/>
  <c r="V7" i="1"/>
  <c r="U7" i="1"/>
  <c r="T7" i="1"/>
  <c r="S7" i="1"/>
  <c r="R7" i="1"/>
  <c r="Q7" i="1"/>
  <c r="V6" i="1"/>
  <c r="R13" i="1" s="1"/>
  <c r="U6" i="1"/>
  <c r="T6" i="1"/>
  <c r="S6" i="1"/>
  <c r="R6" i="1"/>
  <c r="Q6" i="1"/>
  <c r="S12" i="1" s="1"/>
  <c r="I4" i="1"/>
  <c r="H4" i="1"/>
  <c r="G4" i="1"/>
  <c r="R36" i="1" l="1"/>
  <c r="E52" i="1"/>
  <c r="U38" i="1"/>
  <c r="V38" i="1"/>
  <c r="E50" i="1"/>
  <c r="F50" i="1"/>
  <c r="R44" i="1"/>
  <c r="E51" i="1"/>
  <c r="F51" i="1"/>
  <c r="F52" i="1"/>
  <c r="D30" i="1"/>
  <c r="E53" i="1"/>
  <c r="W12" i="1"/>
  <c r="T12" i="1"/>
  <c r="S13" i="1"/>
  <c r="T13" i="1"/>
  <c r="C40" i="1"/>
  <c r="C38" i="1"/>
  <c r="C39" i="1"/>
  <c r="G40" i="1"/>
  <c r="G26" i="1"/>
  <c r="G27" i="1"/>
  <c r="D29" i="1"/>
  <c r="O31" i="1"/>
  <c r="H27" i="1"/>
  <c r="I27" i="1"/>
  <c r="D28" i="1"/>
  <c r="S44" i="1"/>
  <c r="S43" i="1" s="1"/>
  <c r="W42" i="1" s="1"/>
  <c r="L14" i="1"/>
  <c r="L15" i="1"/>
  <c r="S36" i="1"/>
  <c r="M14" i="1"/>
  <c r="M15" i="1"/>
  <c r="T36" i="1"/>
  <c r="N14" i="1"/>
  <c r="N15" i="1"/>
  <c r="U36" i="1"/>
  <c r="R37" i="1"/>
  <c r="I37" i="1" a="1"/>
  <c r="I37" i="1" s="1"/>
  <c r="I30" i="1" s="1"/>
  <c r="V36" i="1"/>
  <c r="R43" i="1" s="1"/>
  <c r="S37" i="1"/>
  <c r="T37" i="1"/>
  <c r="T14" i="1"/>
  <c r="U37" i="1"/>
  <c r="R38" i="1"/>
  <c r="S38" i="1"/>
  <c r="B40" i="1" l="1"/>
  <c r="D40" i="1" s="1"/>
  <c r="R42" i="1"/>
  <c r="T42" i="1" s="1"/>
  <c r="O15" i="1"/>
  <c r="O32" i="1"/>
  <c r="O34" i="1" s="1"/>
  <c r="O36" i="1" s="1"/>
  <c r="B38" i="1"/>
  <c r="D38" i="1" s="1"/>
  <c r="B39" i="1"/>
  <c r="D39" i="1" s="1"/>
  <c r="N16" i="1"/>
  <c r="W7" i="1"/>
  <c r="W6" i="1"/>
  <c r="Y12" i="1"/>
  <c r="X12" i="1"/>
  <c r="W8" i="1"/>
  <c r="I31" i="1"/>
  <c r="H31" i="1"/>
  <c r="G31" i="1"/>
  <c r="I26" i="1"/>
  <c r="T43" i="1"/>
  <c r="T44" i="1"/>
  <c r="L16" i="1"/>
  <c r="O16" i="1" s="1"/>
  <c r="O17" i="1" s="1"/>
  <c r="O19" i="1" s="1"/>
  <c r="O21" i="1" s="1"/>
  <c r="H26" i="1"/>
  <c r="M16" i="1"/>
  <c r="U12" i="1"/>
  <c r="V12" i="1" s="1"/>
  <c r="U42" i="1" l="1"/>
  <c r="V42" i="1" s="1"/>
  <c r="X8" i="1"/>
  <c r="Y8" i="1"/>
  <c r="Y6" i="1"/>
  <c r="X6" i="1"/>
  <c r="W37" i="1"/>
  <c r="W38" i="1"/>
  <c r="X42" i="1"/>
  <c r="W36" i="1"/>
  <c r="Y42" i="1"/>
  <c r="Y7" i="1"/>
  <c r="X7" i="1"/>
  <c r="X36" i="1" l="1"/>
  <c r="Y36" i="1"/>
  <c r="Y38" i="1"/>
  <c r="X38" i="1"/>
  <c r="Y37" i="1"/>
  <c r="X37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<sst xmlns="http://schemas.openxmlformats.org/spreadsheetml/2006/main" count="203" uniqueCount="96">
  <si>
    <t>Kruskal-Wallis</t>
  </si>
  <si>
    <t>Shapiro-Wilk Test</t>
  </si>
  <si>
    <t>Ranking</t>
  </si>
  <si>
    <t>ANOVA: Single Factor</t>
  </si>
  <si>
    <t>New</t>
  </si>
  <si>
    <t>Old</t>
  </si>
  <si>
    <t>Control</t>
  </si>
  <si>
    <t>DESCRIPTION</t>
  </si>
  <si>
    <t>Alpha</t>
  </si>
  <si>
    <t>W-stat</t>
  </si>
  <si>
    <t>Group</t>
  </si>
  <si>
    <t>Count</t>
  </si>
  <si>
    <t>Sum</t>
  </si>
  <si>
    <t>Mean</t>
  </si>
  <si>
    <t>Variance</t>
  </si>
  <si>
    <t>SS</t>
  </si>
  <si>
    <t>Std Err</t>
  </si>
  <si>
    <t>Lower</t>
  </si>
  <si>
    <t>Upper</t>
  </si>
  <si>
    <t>p-value</t>
  </si>
  <si>
    <t>alpha</t>
  </si>
  <si>
    <t>normal</t>
  </si>
  <si>
    <t>d'Agostino-Pearson</t>
  </si>
  <si>
    <t>ANOVA</t>
  </si>
  <si>
    <t>Sources</t>
  </si>
  <si>
    <t>df</t>
  </si>
  <si>
    <t>MS</t>
  </si>
  <si>
    <t>F</t>
  </si>
  <si>
    <t>P value</t>
  </si>
  <si>
    <t>Eta-sq</t>
  </si>
  <si>
    <t>RMSSE</t>
  </si>
  <si>
    <t>Omega Sq</t>
  </si>
  <si>
    <t>DA-stat</t>
  </si>
  <si>
    <t>Between Groups</t>
  </si>
  <si>
    <t>Within Groups</t>
  </si>
  <si>
    <t>mean</t>
  </si>
  <si>
    <t>Rank Sums R</t>
  </si>
  <si>
    <t>Total</t>
  </si>
  <si>
    <t>var</t>
  </si>
  <si>
    <t>Group Size n</t>
  </si>
  <si>
    <r>
      <t>R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/n</t>
    </r>
  </si>
  <si>
    <t>Anova: Single Factor</t>
  </si>
  <si>
    <t>H</t>
  </si>
  <si>
    <t>SUMMARY</t>
  </si>
  <si>
    <t>p</t>
  </si>
  <si>
    <t>Groups</t>
  </si>
  <si>
    <t>Average</t>
  </si>
  <si>
    <t>α</t>
  </si>
  <si>
    <t>sig</t>
  </si>
  <si>
    <t>Multiplier</t>
  </si>
  <si>
    <t>Kruskal-Wallis Test</t>
  </si>
  <si>
    <t>Schaich-Hamerle Test</t>
  </si>
  <si>
    <t>Min</t>
  </si>
  <si>
    <t>Source of Variation</t>
  </si>
  <si>
    <t>P-value</t>
  </si>
  <si>
    <t>F crit</t>
  </si>
  <si>
    <t>n</t>
  </si>
  <si>
    <t>R</t>
  </si>
  <si>
    <t>R/n</t>
  </si>
  <si>
    <t>Q1-Min</t>
  </si>
  <si>
    <t>median</t>
  </si>
  <si>
    <t>Med-Q1</t>
  </si>
  <si>
    <t>rank sum</t>
  </si>
  <si>
    <t>Q3-Med</t>
  </si>
  <si>
    <t>count</t>
  </si>
  <si>
    <t>Max-Q3</t>
  </si>
  <si>
    <t>r^2/n</t>
  </si>
  <si>
    <t>H-stat</t>
  </si>
  <si>
    <t>H-ties</t>
  </si>
  <si>
    <t>k</t>
  </si>
  <si>
    <t>Q1</t>
  </si>
  <si>
    <r>
      <rPr>
        <sz val="11"/>
        <color theme="1"/>
        <rFont val="Calibri"/>
        <family val="2"/>
      </rPr>
      <t>χ</t>
    </r>
    <r>
      <rPr>
        <vertAlign val="subscript"/>
        <sz val="11"/>
        <color theme="1"/>
        <rFont val="Calibri"/>
        <family val="2"/>
      </rPr>
      <t>α</t>
    </r>
    <r>
      <rPr>
        <vertAlign val="subscript"/>
        <sz val="11"/>
        <color theme="1"/>
        <rFont val="Aptos Narrow"/>
        <family val="2"/>
        <scheme val="minor"/>
      </rPr>
      <t>,k-1</t>
    </r>
  </si>
  <si>
    <t>Median</t>
  </si>
  <si>
    <t>Q3</t>
  </si>
  <si>
    <t>diff</t>
  </si>
  <si>
    <t>crit</t>
  </si>
  <si>
    <t>Max</t>
  </si>
  <si>
    <t>New-Old</t>
  </si>
  <si>
    <t>New-Con</t>
  </si>
  <si>
    <t>Old-Con</t>
  </si>
  <si>
    <t>Grand Min</t>
  </si>
  <si>
    <t>Outliers</t>
  </si>
  <si>
    <t>None</t>
  </si>
  <si>
    <t>stat</t>
  </si>
  <si>
    <t>SSB</t>
  </si>
  <si>
    <t>n*(n+1)/12</t>
  </si>
  <si>
    <t>residuals</t>
  </si>
  <si>
    <t>Std Dev</t>
  </si>
  <si>
    <t>Interval</t>
  </si>
  <si>
    <t>Data</t>
  </si>
  <si>
    <t>Std Norm</t>
  </si>
  <si>
    <t>Std Data</t>
  </si>
  <si>
    <t>QQ Plot - residuals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</si>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</sst>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2" fillId="0" borderId="0" xfId="0" applyFont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Fill="1" applyBorder="1" applyAlignment="1">
      <alignment horizontal="center"/>
    </xf>
    <xf numFmtId="15" fontId="0" fillId="0" borderId="0" xfId="0" applyNumberForma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'KW Test'!$F$26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472C4"/>
                  </a:solidFill>
                </a14:hiddenFill>
              </a:ext>
            </a:extLst>
          </c:spPr>
          <c:invertIfNegative val="0"/>
          <c:cat>
            <c:strRef>
              <c:f>'KW Test'!$G$25:$I$25</c:f>
              <c:strCache>
                <c:ptCount val="3"/>
                <c:pt idx="0">
                  <c:v>New</c:v>
                </c:pt>
                <c:pt idx="1">
                  <c:v>Old</c:v>
                </c:pt>
                <c:pt idx="2">
                  <c:v>Control</c:v>
                </c:pt>
              </c:strCache>
            </c:strRef>
          </c:cat>
          <c:val>
            <c:numRef>
              <c:f>'KW Test'!$G$26:$I$26</c:f>
              <c:numCache>
                <c:formatCode>General</c:formatCode>
                <c:ptCount val="3"/>
                <c:pt idx="0">
                  <c:v>32</c:v>
                </c:pt>
                <c:pt idx="1">
                  <c:v>15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A-4CAD-8CDF-E907AEC5EC5E}"/>
            </c:ext>
          </c:extLst>
        </c:ser>
        <c:ser>
          <c:idx val="1"/>
          <c:order val="1"/>
          <c:tx>
            <c:strRef>
              <c:f>'KW Test'!$F$27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ED7D31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'KW Test'!$G$25:$I$25</c:f>
              <c:strCache>
                <c:ptCount val="3"/>
                <c:pt idx="0">
                  <c:v>New</c:v>
                </c:pt>
                <c:pt idx="1">
                  <c:v>Old</c:v>
                </c:pt>
                <c:pt idx="2">
                  <c:v>Control</c:v>
                </c:pt>
              </c:strCache>
            </c:strRef>
          </c:cat>
          <c:val>
            <c:numRef>
              <c:f>'KW Test'!$G$27:$I$27</c:f>
              <c:numCache>
                <c:formatCode>General</c:formatCode>
                <c:ptCount val="3"/>
                <c:pt idx="0">
                  <c:v>6.75</c:v>
                </c:pt>
                <c:pt idx="1">
                  <c:v>10</c:v>
                </c:pt>
                <c:pt idx="2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A-4CAD-8CDF-E907AEC5EC5E}"/>
            </c:ext>
          </c:extLst>
        </c:ser>
        <c:ser>
          <c:idx val="2"/>
          <c:order val="2"/>
          <c:tx>
            <c:strRef>
              <c:f>'KW Test'!$F$28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'KW Test'!$G$25:$I$25</c:f>
              <c:strCache>
                <c:ptCount val="3"/>
                <c:pt idx="0">
                  <c:v>New</c:v>
                </c:pt>
                <c:pt idx="1">
                  <c:v>Old</c:v>
                </c:pt>
                <c:pt idx="2">
                  <c:v>Control</c:v>
                </c:pt>
              </c:strCache>
            </c:strRef>
          </c:cat>
          <c:val>
            <c:numRef>
              <c:f>'KW Test'!$G$28:$I$28</c:f>
              <c:numCache>
                <c:formatCode>General</c:formatCode>
                <c:ptCount val="3"/>
                <c:pt idx="0">
                  <c:v>4.25</c:v>
                </c:pt>
                <c:pt idx="1">
                  <c:v>5</c:v>
                </c:pt>
                <c:pt idx="2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FA-4CAD-8CDF-E907AEC5EC5E}"/>
            </c:ext>
          </c:extLst>
        </c:ser>
        <c:ser>
          <c:idx val="3"/>
          <c:order val="3"/>
          <c:tx>
            <c:strRef>
              <c:f>'KW Test'!$F$29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'KW Test'!$G$30:$I$30</c:f>
                <c:numCache>
                  <c:formatCode>General</c:formatCode>
                  <c:ptCount val="3"/>
                  <c:pt idx="0">
                    <c:v>13.5</c:v>
                  </c:pt>
                  <c:pt idx="1">
                    <c:v>8</c:v>
                  </c:pt>
                  <c:pt idx="2">
                    <c:v>12.25</c:v>
                  </c:pt>
                </c:numCache>
              </c:numRef>
            </c:plus>
          </c:errBars>
          <c:cat>
            <c:strRef>
              <c:f>'KW Test'!$G$25:$I$25</c:f>
              <c:strCache>
                <c:ptCount val="3"/>
                <c:pt idx="0">
                  <c:v>New</c:v>
                </c:pt>
                <c:pt idx="1">
                  <c:v>Old</c:v>
                </c:pt>
                <c:pt idx="2">
                  <c:v>Control</c:v>
                </c:pt>
              </c:strCache>
            </c:strRef>
          </c:cat>
          <c:val>
            <c:numRef>
              <c:f>'KW Test'!$G$29:$I$29</c:f>
              <c:numCache>
                <c:formatCode>General</c:formatCode>
                <c:ptCount val="3"/>
                <c:pt idx="0">
                  <c:v>5.5</c:v>
                </c:pt>
                <c:pt idx="1">
                  <c:v>2</c:v>
                </c:pt>
                <c:pt idx="2">
                  <c:v>13.75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FA-4CAD-8CDF-E907AEC5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7322112"/>
        <c:axId val="1714495392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19050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'KW Test'!$G$31:$I$31</c:f>
              <c:numCache>
                <c:formatCode>General</c:formatCode>
                <c:ptCount val="3"/>
                <c:pt idx="0">
                  <c:v>47.3</c:v>
                </c:pt>
                <c:pt idx="1">
                  <c:v>30.333333333333332</c:v>
                </c:pt>
                <c:pt idx="2">
                  <c:v>28.75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FA-4CAD-8CDF-E907AEC5EC5E}"/>
            </c:ext>
          </c:extLst>
        </c:ser>
        <c:ser>
          <c:idx val="5"/>
          <c:order val="5"/>
          <c:tx>
            <c:v>x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'KW Test'!$G$42</c:f>
              <c:numCache>
                <c:formatCode>General</c:formatCode>
                <c:ptCount val="1"/>
                <c:pt idx="0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FA-4CAD-8CDF-E907AEC5EC5E}"/>
            </c:ext>
          </c:extLst>
        </c:ser>
        <c:ser>
          <c:idx val="6"/>
          <c:order val="6"/>
          <c:tx>
            <c:v>x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</c:v>
              </c:pt>
            </c:numLit>
          </c:xVal>
          <c:yVal>
            <c:numRef>
              <c:f>'KW Test'!$H$42</c:f>
              <c:numCache>
                <c:formatCode>General</c:formatCode>
                <c:ptCount val="1"/>
                <c:pt idx="0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FA-4CAD-8CDF-E907AEC5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322112"/>
        <c:axId val="1714495392"/>
      </c:scatterChart>
      <c:catAx>
        <c:axId val="18273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4495392"/>
        <c:crosses val="autoZero"/>
        <c:auto val="1"/>
        <c:lblAlgn val="ctr"/>
        <c:lblOffset val="100"/>
        <c:noMultiLvlLbl val="0"/>
      </c:catAx>
      <c:valAx>
        <c:axId val="171449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732211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 -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Normality!$X$10:$X$36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Normality!$Y$10:$Y$36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C5-4154-8A62-08D7963FC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785743"/>
        <c:axId val="1132791503"/>
      </c:scatterChart>
      <c:valAx>
        <c:axId val="11327857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2791503"/>
        <c:crosses val="autoZero"/>
        <c:crossBetween val="midCat"/>
      </c:valAx>
      <c:valAx>
        <c:axId val="1132791503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278574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28</xdr:row>
      <xdr:rowOff>63500</xdr:rowOff>
    </xdr:from>
    <xdr:to>
      <xdr:col>8</xdr:col>
      <xdr:colOff>304800</xdr:colOff>
      <xdr:row>42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304A04-564C-4C59-8BEC-9B203178C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127366</xdr:colOff>
      <xdr:row>3</xdr:row>
      <xdr:rowOff>87002</xdr:rowOff>
    </xdr:from>
    <xdr:to>
      <xdr:col>16</xdr:col>
      <xdr:colOff>432166</xdr:colOff>
      <xdr:row>18</xdr:row>
      <xdr:rowOff>67952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2B3610-27E7-F712-8BA5-965DFBD3DC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ANOVA%201%2013%20April%202021.xlsx" TargetMode="External"/><Relationship Id="rId1" Type="http://schemas.openxmlformats.org/officeDocument/2006/relationships/externalLinkPath" Target="/38f5cd2f1f925cfd/Documenti/A%20Real%20Statistics%202020/Examples/Real%20Statistics%20Examples%20ANOVA%201%2013%20Ap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ANOVA 1"/>
      <sheetName val="ANOVA 2"/>
      <sheetName val="ANOVA 3"/>
      <sheetName val="ANOVA 4"/>
      <sheetName val="ANOVA 5"/>
      <sheetName val="ANOVA 6"/>
      <sheetName val="Contrast 1"/>
      <sheetName val="Contrast 2"/>
      <sheetName val="Contrast 2a"/>
      <sheetName val="Contrast 3"/>
      <sheetName val="Tukey 1"/>
      <sheetName val="Tukey 2"/>
      <sheetName val="Tuk-Kra"/>
      <sheetName val="Gam-How"/>
      <sheetName val="REGWQ 1"/>
      <sheetName val="REGWQ 1a"/>
      <sheetName val="REGWQ 2"/>
      <sheetName val="REGWQ 2a"/>
      <sheetName val="Dunnett"/>
      <sheetName val="Hsu 1"/>
      <sheetName val="Hsu 2"/>
      <sheetName val="Scheffe 1"/>
      <sheetName val="Scheffe 1a"/>
      <sheetName val="Pairwise t"/>
      <sheetName val="Levene 1"/>
      <sheetName val="Levene 2"/>
      <sheetName val="Bartlett"/>
      <sheetName val="Fligner"/>
      <sheetName val="Log Transform"/>
      <sheetName val="Outliers"/>
      <sheetName val="KW"/>
      <sheetName val="KW-Post"/>
      <sheetName val="Nom-Ord"/>
      <sheetName val="NomOrd 2"/>
      <sheetName val="NomOrd 3"/>
      <sheetName val="JT"/>
      <sheetName val="Brown F 1"/>
      <sheetName val="Brown F 2"/>
      <sheetName val="Welch 1"/>
      <sheetName val="Welch 1a"/>
      <sheetName val="Welch 2"/>
      <sheetName val="Power Anova"/>
      <sheetName val="Power Tukey 1"/>
      <sheetName val="Power Tukey 2"/>
      <sheetName val="Anova Resamp"/>
      <sheetName val="Anova Resamp 1"/>
      <sheetName val="COV"/>
      <sheetName val="Moods 2"/>
      <sheetName val="ANOVA 2.1"/>
      <sheetName val="ANOVA 2.1a"/>
      <sheetName val="ANOVA 2.1b"/>
      <sheetName val="ANOVA 2.2"/>
      <sheetName val="ANOVA 2.2A"/>
      <sheetName val="ANOVA 2.3"/>
      <sheetName val="ANOVA 2.4"/>
      <sheetName val="ANOVA 2.5"/>
      <sheetName val="ANOVA 2.6"/>
      <sheetName val="Simple Effect"/>
      <sheetName val="Contrasts 2.1"/>
      <sheetName val="Contrasts 2.2"/>
      <sheetName val="Tukey 2.1"/>
      <sheetName val="ANOVA 3.1"/>
      <sheetName val="ANOVA 3.2"/>
      <sheetName val="ANOVA 3.2a"/>
      <sheetName val="ANOVA 3.3"/>
      <sheetName val="ANOVA 3.4"/>
      <sheetName val="ANOVA 3.5"/>
      <sheetName val="Gage"/>
      <sheetName val="Gage 1"/>
      <sheetName val="Scheirer"/>
      <sheetName val="ART 2"/>
      <sheetName val="ART 2a"/>
      <sheetName val="ART 3"/>
      <sheetName val="Reg Anova 1"/>
      <sheetName val="Reg Anova 2"/>
      <sheetName val="Reg Anova 3"/>
      <sheetName val="Reg Anova 4"/>
      <sheetName val="Reg Anova 5"/>
      <sheetName val="Reg An3.1"/>
      <sheetName val="Reg An3.2"/>
      <sheetName val="Stud. Q Table"/>
      <sheetName val="Stud. Q Table 2"/>
      <sheetName val=" Dunnett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5">
          <cell r="G25" t="str">
            <v>New</v>
          </cell>
          <cell r="H25" t="str">
            <v>Old</v>
          </cell>
          <cell r="I25" t="str">
            <v>Control</v>
          </cell>
        </row>
        <row r="26">
          <cell r="F26" t="str">
            <v>Min</v>
          </cell>
          <cell r="G26">
            <v>32</v>
          </cell>
          <cell r="H26">
            <v>15</v>
          </cell>
          <cell r="I26">
            <v>17</v>
          </cell>
        </row>
        <row r="27">
          <cell r="F27" t="str">
            <v>Q1-Min</v>
          </cell>
          <cell r="G27">
            <v>6.75</v>
          </cell>
          <cell r="H27">
            <v>10</v>
          </cell>
          <cell r="I27">
            <v>1.75</v>
          </cell>
        </row>
        <row r="28">
          <cell r="F28" t="str">
            <v>Med-Q1</v>
          </cell>
          <cell r="G28">
            <v>4.25</v>
          </cell>
          <cell r="H28">
            <v>5</v>
          </cell>
          <cell r="I28">
            <v>4.25</v>
          </cell>
        </row>
        <row r="29">
          <cell r="F29" t="str">
            <v>Q3-Med</v>
          </cell>
          <cell r="G29">
            <v>5.5</v>
          </cell>
          <cell r="H29">
            <v>2</v>
          </cell>
          <cell r="I29">
            <v>13.75</v>
          </cell>
        </row>
        <row r="30">
          <cell r="G30">
            <v>13.5</v>
          </cell>
          <cell r="H30">
            <v>8</v>
          </cell>
          <cell r="I30">
            <v>12.25</v>
          </cell>
        </row>
        <row r="31">
          <cell r="G31">
            <v>47.3</v>
          </cell>
          <cell r="H31">
            <v>30.333333333333332</v>
          </cell>
          <cell r="I31">
            <v>28.75</v>
          </cell>
        </row>
        <row r="42">
          <cell r="G42">
            <v>81</v>
          </cell>
          <cell r="H42">
            <v>48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B0F0-E286-47A9-8ABA-6BD310CC61FB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93</v>
      </c>
    </row>
    <row r="2" spans="1:13" x14ac:dyDescent="0.35">
      <c r="A2" t="s">
        <v>50</v>
      </c>
    </row>
    <row r="4" spans="1:13" x14ac:dyDescent="0.35">
      <c r="A4" t="s">
        <v>94</v>
      </c>
      <c r="B4" s="44">
        <v>45473</v>
      </c>
    </row>
    <row r="6" spans="1:13" x14ac:dyDescent="0.35">
      <c r="A6" s="45" t="s">
        <v>95</v>
      </c>
    </row>
    <row r="10" spans="1:13" ht="18.5" x14ac:dyDescent="0.45">
      <c r="M10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7CF88-FE2C-439C-A403-426B1DC980DB}">
  <dimension ref="A1:Y64"/>
  <sheetViews>
    <sheetView workbookViewId="0"/>
  </sheetViews>
  <sheetFormatPr defaultRowHeight="14.5" x14ac:dyDescent="0.35"/>
  <cols>
    <col min="1" max="1" width="6.1796875" customWidth="1"/>
    <col min="2" max="4" width="7" customWidth="1"/>
    <col min="11" max="11" width="12.1796875" customWidth="1"/>
    <col min="17" max="17" width="15.90625" customWidth="1"/>
  </cols>
  <sheetData>
    <row r="1" spans="1:25" x14ac:dyDescent="0.35">
      <c r="A1" s="1" t="s">
        <v>0</v>
      </c>
    </row>
    <row r="2" spans="1:25" x14ac:dyDescent="0.35">
      <c r="F2" t="s">
        <v>1</v>
      </c>
      <c r="K2" t="s">
        <v>2</v>
      </c>
      <c r="Q2" t="s">
        <v>3</v>
      </c>
    </row>
    <row r="3" spans="1:25" x14ac:dyDescent="0.35">
      <c r="B3" s="2" t="s">
        <v>4</v>
      </c>
      <c r="C3" s="2" t="s">
        <v>5</v>
      </c>
      <c r="D3" s="2" t="s">
        <v>6</v>
      </c>
      <c r="L3" s="3" t="s">
        <v>4</v>
      </c>
      <c r="M3" s="3" t="s">
        <v>5</v>
      </c>
      <c r="N3" s="3" t="s">
        <v>6</v>
      </c>
    </row>
    <row r="4" spans="1:25" ht="15" thickBot="1" x14ac:dyDescent="0.4">
      <c r="B4" s="4">
        <v>81</v>
      </c>
      <c r="C4" s="4">
        <v>48</v>
      </c>
      <c r="D4" s="4">
        <v>18</v>
      </c>
      <c r="F4" s="5"/>
      <c r="G4" s="5" t="str">
        <f>B3</f>
        <v>New</v>
      </c>
      <c r="H4" s="5" t="str">
        <f t="shared" ref="H4:I4" si="0">C3</f>
        <v>Old</v>
      </c>
      <c r="I4" s="5" t="str">
        <f t="shared" si="0"/>
        <v>Control</v>
      </c>
      <c r="L4" s="6" t="e">
        <f ca="1">IF(ISNUMBER(B4), RANK_AVG(B4,$B$4:$D$13,1),"")</f>
        <v>#NAME?</v>
      </c>
      <c r="M4" s="7" t="e">
        <f ca="1">IF(ISNUMBER(C4), RANK_AVG(C4,$B$4:$D$13,1),"")</f>
        <v>#NAME?</v>
      </c>
      <c r="N4" s="8" t="e">
        <f ca="1">IF(ISNUMBER(D4), RANK_AVG(D4,$B$4:$D$13,1),"")</f>
        <v>#NAME?</v>
      </c>
      <c r="Q4" t="s">
        <v>7</v>
      </c>
      <c r="V4" t="s">
        <v>8</v>
      </c>
      <c r="W4">
        <v>0.05</v>
      </c>
    </row>
    <row r="5" spans="1:25" ht="15" thickTop="1" x14ac:dyDescent="0.35">
      <c r="B5" s="4">
        <v>32</v>
      </c>
      <c r="C5" s="4">
        <v>31</v>
      </c>
      <c r="D5" s="4">
        <v>49</v>
      </c>
      <c r="F5" t="s">
        <v>9</v>
      </c>
      <c r="G5" t="e">
        <f ca="1">SHAPIRO(B4:B13)</f>
        <v>#NAME?</v>
      </c>
      <c r="H5" t="e">
        <f ca="1">SHAPIRO(C4:C13)</f>
        <v>#NAME?</v>
      </c>
      <c r="I5" t="e">
        <f ca="1">SHAPIRO(D4:D13)</f>
        <v>#NAME?</v>
      </c>
      <c r="L5" s="9" t="e">
        <f ca="1">IF(ISNUMBER(B5), RANK_AVG(B5,$B$4:$D$13,1),"")</f>
        <v>#NAME?</v>
      </c>
      <c r="M5" t="e">
        <f ca="1">IF(ISNUMBER(C5), RANK_AVG(C5,$B$4:$D$13,1),"")</f>
        <v>#NAME?</v>
      </c>
      <c r="N5" s="10" t="e">
        <f ca="1">IF(ISNUMBER(D5), RANK_AVG(D5,$B$4:$D$13,1),"")</f>
        <v>#NAME?</v>
      </c>
      <c r="Q5" s="11" t="s">
        <v>10</v>
      </c>
      <c r="R5" s="11" t="s">
        <v>11</v>
      </c>
      <c r="S5" s="11" t="s">
        <v>12</v>
      </c>
      <c r="T5" s="11" t="s">
        <v>13</v>
      </c>
      <c r="U5" s="11" t="s">
        <v>14</v>
      </c>
      <c r="V5" s="11" t="s">
        <v>15</v>
      </c>
      <c r="W5" s="11" t="s">
        <v>16</v>
      </c>
      <c r="X5" s="11" t="s">
        <v>17</v>
      </c>
      <c r="Y5" s="11" t="s">
        <v>18</v>
      </c>
    </row>
    <row r="6" spans="1:25" x14ac:dyDescent="0.35">
      <c r="B6" s="4">
        <v>42</v>
      </c>
      <c r="C6" s="4">
        <v>25</v>
      </c>
      <c r="D6" s="4">
        <v>33</v>
      </c>
      <c r="F6" t="s">
        <v>19</v>
      </c>
      <c r="G6" t="e">
        <f ca="1">SWTEST(B4:B13)</f>
        <v>#NAME?</v>
      </c>
      <c r="H6" t="e">
        <f ca="1">SWTEST(C4:C13)</f>
        <v>#NAME?</v>
      </c>
      <c r="I6" t="e">
        <f ca="1">SWTEST(D4:D13)</f>
        <v>#NAME?</v>
      </c>
      <c r="L6" s="9" t="e">
        <f ca="1">IF(ISNUMBER(B6), RANK_AVG(B6,$B$4:$D$13,1),"")</f>
        <v>#NAME?</v>
      </c>
      <c r="M6" t="e">
        <f ca="1">IF(ISNUMBER(C6), RANK_AVG(C6,$B$4:$D$13,1),"")</f>
        <v>#NAME?</v>
      </c>
      <c r="N6" s="10" t="e">
        <f ca="1">IF(ISNUMBER(D6), RANK_AVG(D6,$B$4:$D$13,1),"")</f>
        <v>#NAME?</v>
      </c>
      <c r="Q6" t="str">
        <f>B3</f>
        <v>New</v>
      </c>
      <c r="R6">
        <f>COUNT(B4:B13)</f>
        <v>10</v>
      </c>
      <c r="S6">
        <f>SUM(B4:B13)</f>
        <v>473</v>
      </c>
      <c r="T6">
        <f>AVERAGE(B4:B13)</f>
        <v>47.3</v>
      </c>
      <c r="U6">
        <f>_xlfn.VAR.S(B4:B13)</f>
        <v>206.67777777777761</v>
      </c>
      <c r="V6">
        <f>DEVSQ(B4:B13)</f>
        <v>1860.1000000000001</v>
      </c>
      <c r="W6">
        <f>SQRT(T13/R6)</f>
        <v>3.9883162696389394</v>
      </c>
      <c r="X6">
        <f>T6-W6*_xlfn.T.INV.2T(W4,S13)</f>
        <v>39.068519787774534</v>
      </c>
      <c r="Y6">
        <f>T6+W6*_xlfn.T.INV.2T(W4,S13)</f>
        <v>55.53148021222546</v>
      </c>
    </row>
    <row r="7" spans="1:25" x14ac:dyDescent="0.35">
      <c r="B7" s="4">
        <v>62</v>
      </c>
      <c r="C7" s="4">
        <v>22</v>
      </c>
      <c r="D7" s="4">
        <v>19</v>
      </c>
      <c r="F7" t="s">
        <v>20</v>
      </c>
      <c r="G7">
        <v>0.05</v>
      </c>
      <c r="H7">
        <v>0.05</v>
      </c>
      <c r="I7">
        <v>0.05</v>
      </c>
      <c r="L7" s="9" t="e">
        <f ca="1">IF(ISNUMBER(B7), RANK_AVG(B7,$B$4:$D$13,1),"")</f>
        <v>#NAME?</v>
      </c>
      <c r="M7" t="e">
        <f ca="1">IF(ISNUMBER(C7), RANK_AVG(C7,$B$4:$D$13,1),"")</f>
        <v>#NAME?</v>
      </c>
      <c r="N7" s="10" t="e">
        <f ca="1">IF(ISNUMBER(D7), RANK_AVG(D7,$B$4:$D$13,1),"")</f>
        <v>#NAME?</v>
      </c>
      <c r="Q7" t="str">
        <f>C3</f>
        <v>Old</v>
      </c>
      <c r="R7">
        <f>COUNT(C4:C13)</f>
        <v>9</v>
      </c>
      <c r="S7">
        <f>SUM(C4:C13)</f>
        <v>273</v>
      </c>
      <c r="T7">
        <f>AVERAGE(C4:C13)</f>
        <v>30.333333333333332</v>
      </c>
      <c r="U7">
        <f>_xlfn.VAR.S(C4:C13)</f>
        <v>92.75</v>
      </c>
      <c r="V7">
        <f>DEVSQ(C4:C13)</f>
        <v>741.99999999999989</v>
      </c>
      <c r="W7">
        <f>SQRT(T13/R7)</f>
        <v>4.204054480388435</v>
      </c>
      <c r="X7">
        <f>T7-W7*_xlfn.T.INV.2T(W4,S13)</f>
        <v>21.656591338253783</v>
      </c>
      <c r="Y7">
        <f>T7+W7*_xlfn.T.INV.2T(W4,S13)</f>
        <v>39.010075328412881</v>
      </c>
    </row>
    <row r="8" spans="1:25" x14ac:dyDescent="0.35">
      <c r="B8" s="4">
        <v>37</v>
      </c>
      <c r="C8" s="4">
        <v>30</v>
      </c>
      <c r="D8" s="4">
        <v>24</v>
      </c>
      <c r="F8" s="12" t="s">
        <v>21</v>
      </c>
      <c r="G8" s="13" t="e">
        <f ca="1">IF(G6&lt;G7,"no","yes")</f>
        <v>#NAME?</v>
      </c>
      <c r="H8" s="13" t="e">
        <f t="shared" ref="H8:I8" ca="1" si="1">IF(H6&lt;H7,"no","yes")</f>
        <v>#NAME?</v>
      </c>
      <c r="I8" s="13" t="e">
        <f t="shared" ca="1" si="1"/>
        <v>#NAME?</v>
      </c>
      <c r="L8" s="9" t="e">
        <f ca="1">IF(ISNUMBER(B8), RANK_AVG(B8,$B$4:$D$13,1),"")</f>
        <v>#NAME?</v>
      </c>
      <c r="M8" t="e">
        <f ca="1">IF(ISNUMBER(C8), RANK_AVG(C8,$B$4:$D$13,1),"")</f>
        <v>#NAME?</v>
      </c>
      <c r="N8" s="10" t="e">
        <f ca="1">IF(ISNUMBER(D8), RANK_AVG(D8,$B$4:$D$13,1),"")</f>
        <v>#NAME?</v>
      </c>
      <c r="Q8" t="str">
        <f>D3</f>
        <v>Control</v>
      </c>
      <c r="R8">
        <f>COUNT(D4:D13)</f>
        <v>8</v>
      </c>
      <c r="S8">
        <f>SUM(D4:D13)</f>
        <v>230</v>
      </c>
      <c r="T8">
        <f>AVERAGE(D4:D13)</f>
        <v>28.75</v>
      </c>
      <c r="U8">
        <f>_xlfn.VAR.S(D4:D13)</f>
        <v>173.64285714285714</v>
      </c>
      <c r="V8">
        <f>DEVSQ(D4:D13)</f>
        <v>1215.5</v>
      </c>
      <c r="W8">
        <f>SQRT(T13/R8)</f>
        <v>4.4590731473405247</v>
      </c>
      <c r="X8">
        <f>T8-W8*_xlfn.T.INV.2T(W4,S13)</f>
        <v>19.54692534500974</v>
      </c>
      <c r="Y8">
        <f>T8+W8*_xlfn.T.INV.2T(W4,S13)</f>
        <v>37.95307465499026</v>
      </c>
    </row>
    <row r="9" spans="1:25" x14ac:dyDescent="0.35">
      <c r="B9" s="4">
        <v>44</v>
      </c>
      <c r="C9" s="4">
        <v>30</v>
      </c>
      <c r="D9" s="4">
        <v>17</v>
      </c>
      <c r="L9" s="9" t="e">
        <f ca="1">IF(ISNUMBER(B9), RANK_AVG(B9,$B$4:$D$13,1),"")</f>
        <v>#NAME?</v>
      </c>
      <c r="M9" t="e">
        <f ca="1">IF(ISNUMBER(C9), RANK_AVG(C9,$B$4:$D$13,1),"")</f>
        <v>#NAME?</v>
      </c>
      <c r="N9" s="10" t="e">
        <f ca="1">IF(ISNUMBER(D9), RANK_AVG(D9,$B$4:$D$13,1),"")</f>
        <v>#NAME?</v>
      </c>
      <c r="Q9" s="7"/>
      <c r="R9" s="7"/>
      <c r="S9" s="7"/>
      <c r="T9" s="7"/>
      <c r="U9" s="7"/>
      <c r="V9" s="7"/>
      <c r="W9" s="7"/>
      <c r="X9" s="7"/>
      <c r="Y9" s="7"/>
    </row>
    <row r="10" spans="1:25" ht="15" thickBot="1" x14ac:dyDescent="0.4">
      <c r="B10" s="4">
        <v>38</v>
      </c>
      <c r="C10" s="4">
        <v>32</v>
      </c>
      <c r="D10" s="4">
        <v>48</v>
      </c>
      <c r="F10" t="s">
        <v>22</v>
      </c>
      <c r="L10" s="9" t="e">
        <f ca="1">IF(ISNUMBER(B10), RANK_AVG(B10,$B$4:$D$13,1),"")</f>
        <v>#NAME?</v>
      </c>
      <c r="M10" t="e">
        <f ca="1">IF(ISNUMBER(C10), RANK_AVG(C10,$B$4:$D$13,1),"")</f>
        <v>#NAME?</v>
      </c>
      <c r="N10" s="10" t="e">
        <f ca="1">IF(ISNUMBER(D10), RANK_AVG(D10,$B$4:$D$13,1),"")</f>
        <v>#NAME?</v>
      </c>
      <c r="Q10" t="s">
        <v>23</v>
      </c>
    </row>
    <row r="11" spans="1:25" ht="15" thickTop="1" x14ac:dyDescent="0.35">
      <c r="B11" s="4">
        <v>47</v>
      </c>
      <c r="C11" s="4">
        <v>15</v>
      </c>
      <c r="D11" s="4">
        <v>22</v>
      </c>
      <c r="L11" s="9" t="e">
        <f ca="1">IF(ISNUMBER(B11), RANK_AVG(B11,$B$4:$D$13,1),"")</f>
        <v>#NAME?</v>
      </c>
      <c r="M11" t="e">
        <f ca="1">IF(ISNUMBER(C11), RANK_AVG(C11,$B$4:$D$13,1),"")</f>
        <v>#NAME?</v>
      </c>
      <c r="N11" s="10" t="e">
        <f ca="1">IF(ISNUMBER(D11), RANK_AVG(D11,$B$4:$D$13,1),"")</f>
        <v>#NAME?</v>
      </c>
      <c r="Q11" s="11" t="s">
        <v>24</v>
      </c>
      <c r="R11" s="11" t="s">
        <v>15</v>
      </c>
      <c r="S11" s="11" t="s">
        <v>25</v>
      </c>
      <c r="T11" s="11" t="s">
        <v>26</v>
      </c>
      <c r="U11" s="11" t="s">
        <v>27</v>
      </c>
      <c r="V11" s="11" t="s">
        <v>28</v>
      </c>
      <c r="W11" s="11" t="s">
        <v>29</v>
      </c>
      <c r="X11" s="11" t="s">
        <v>30</v>
      </c>
      <c r="Y11" s="11" t="s">
        <v>31</v>
      </c>
    </row>
    <row r="12" spans="1:25" x14ac:dyDescent="0.35">
      <c r="B12" s="4">
        <v>49</v>
      </c>
      <c r="C12" s="4">
        <v>40</v>
      </c>
      <c r="D12" s="4"/>
      <c r="F12" s="7" t="s">
        <v>32</v>
      </c>
      <c r="G12" s="7" t="e">
        <f ca="1">DAGOSTINO(B4:B13)</f>
        <v>#NAME?</v>
      </c>
      <c r="H12" s="7" t="e">
        <f ca="1">DAGOSTINO(C4:C13)</f>
        <v>#NAME?</v>
      </c>
      <c r="I12" s="7" t="e">
        <f ca="1">DAGOSTINO(D4:D13)</f>
        <v>#NAME?</v>
      </c>
      <c r="L12" s="9" t="e">
        <f ca="1">IF(ISNUMBER(B12), RANK_AVG(B12,$B$4:$D$13,1),"")</f>
        <v>#NAME?</v>
      </c>
      <c r="M12" t="e">
        <f ca="1">IF(ISNUMBER(C12), RANK_AVG(C12,$B$4:$D$13,1),"")</f>
        <v>#NAME?</v>
      </c>
      <c r="N12" s="10" t="str">
        <f>IF(ISNUMBER(D12), RANK_AVG(D12,$B$4:$D$13,1),"")</f>
        <v/>
      </c>
      <c r="Q12" t="s">
        <v>33</v>
      </c>
      <c r="R12">
        <f>R14-R13</f>
        <v>1985.8074074074079</v>
      </c>
      <c r="S12">
        <f>COUNTA(Q6:Q8)-1</f>
        <v>2</v>
      </c>
      <c r="T12">
        <f>R12/S12</f>
        <v>992.90370370370397</v>
      </c>
      <c r="U12">
        <f>T12/T13</f>
        <v>6.2420601657818775</v>
      </c>
      <c r="V12">
        <f>_xlfn.F.DIST.RT(U12,S12,S13)</f>
        <v>6.5658105468237027E-3</v>
      </c>
      <c r="W12">
        <f>R12/R14</f>
        <v>0.34217956245373093</v>
      </c>
      <c r="X12">
        <f>SQRT(DEVSQ(T6:T8)/(T13*S12))</f>
        <v>0.81534760984293975</v>
      </c>
      <c r="Y12">
        <f>(R14-S14*T13)/(R14+T13)</f>
        <v>0.27969498120342789</v>
      </c>
    </row>
    <row r="13" spans="1:25" x14ac:dyDescent="0.35">
      <c r="B13" s="13">
        <v>41</v>
      </c>
      <c r="C13" s="13"/>
      <c r="D13" s="13"/>
      <c r="F13" t="s">
        <v>19</v>
      </c>
      <c r="G13" t="e">
        <f ca="1">DPTEST(B4:B13)</f>
        <v>#NAME?</v>
      </c>
      <c r="H13" t="e">
        <f ca="1">DPTEST(C4:C13)</f>
        <v>#NAME?</v>
      </c>
      <c r="I13" t="e">
        <f ca="1">DPTEST(D4:D13)</f>
        <v>#NAME?</v>
      </c>
      <c r="L13" s="14" t="e">
        <f ca="1">IF(ISNUMBER(B13), RANK_AVG(B13,$B$4:$D$13,1),"")</f>
        <v>#NAME?</v>
      </c>
      <c r="M13" s="12" t="str">
        <f>IF(ISNUMBER(C13), RANK_AVG(C13,$B$4:$D$13,1),"")</f>
        <v/>
      </c>
      <c r="N13" s="15" t="str">
        <f>IF(ISNUMBER(D13), RANK_AVG(D13,$B$4:$D$13,1),"")</f>
        <v/>
      </c>
      <c r="Q13" t="s">
        <v>34</v>
      </c>
      <c r="R13">
        <f>SUM(V6:V8)</f>
        <v>3817.6</v>
      </c>
      <c r="S13">
        <f>S14-S12</f>
        <v>24</v>
      </c>
      <c r="T13">
        <f>R13/S13</f>
        <v>159.06666666666666</v>
      </c>
    </row>
    <row r="14" spans="1:25" x14ac:dyDescent="0.35">
      <c r="A14" t="s">
        <v>35</v>
      </c>
      <c r="B14">
        <f>AVERAGE(B4:B13)</f>
        <v>47.3</v>
      </c>
      <c r="C14">
        <f>AVERAGE(C4:C13)</f>
        <v>30.333333333333332</v>
      </c>
      <c r="D14">
        <f>AVERAGE(D4:D13)</f>
        <v>28.75</v>
      </c>
      <c r="F14" t="s">
        <v>20</v>
      </c>
      <c r="G14">
        <v>0.05</v>
      </c>
      <c r="H14">
        <v>0.05</v>
      </c>
      <c r="I14">
        <v>0.05</v>
      </c>
      <c r="K14" t="s">
        <v>36</v>
      </c>
      <c r="L14" s="6" t="e">
        <f ca="1">SUM(L4:L13)</f>
        <v>#NAME?</v>
      </c>
      <c r="M14" s="7" t="e">
        <f ca="1">SUM(M4:M13)</f>
        <v>#NAME?</v>
      </c>
      <c r="N14" s="8" t="e">
        <f ca="1">SUM(N4:N13)</f>
        <v>#NAME?</v>
      </c>
      <c r="Q14" s="12" t="s">
        <v>37</v>
      </c>
      <c r="R14" s="12">
        <f>DEVSQ(B4:D13)</f>
        <v>5803.4074074074078</v>
      </c>
      <c r="S14" s="12">
        <f>COUNT(B4:D13)-1</f>
        <v>26</v>
      </c>
      <c r="T14" s="12">
        <f>R14/S14</f>
        <v>223.20797720797722</v>
      </c>
      <c r="U14" s="12"/>
      <c r="V14" s="12"/>
      <c r="W14" s="12"/>
      <c r="X14" s="12"/>
      <c r="Y14" s="12"/>
    </row>
    <row r="15" spans="1:25" x14ac:dyDescent="0.35">
      <c r="A15" t="s">
        <v>38</v>
      </c>
      <c r="B15">
        <f>VAR(B4:B13)</f>
        <v>206.67777777777761</v>
      </c>
      <c r="C15">
        <f>VAR(C4:C13)</f>
        <v>92.75</v>
      </c>
      <c r="D15">
        <f>VAR(D4:D13)</f>
        <v>173.64285714285714</v>
      </c>
      <c r="F15" s="12" t="s">
        <v>21</v>
      </c>
      <c r="G15" s="13" t="e">
        <f ca="1">IF(G13&lt;G14,"no","yes")</f>
        <v>#NAME?</v>
      </c>
      <c r="H15" s="13" t="e">
        <f t="shared" ref="H15:I15" ca="1" si="2">IF(H13&lt;H14,"no","yes")</f>
        <v>#NAME?</v>
      </c>
      <c r="I15" s="13" t="e">
        <f t="shared" ca="1" si="2"/>
        <v>#NAME?</v>
      </c>
      <c r="K15" t="s">
        <v>39</v>
      </c>
      <c r="L15" s="9">
        <f ca="1">COUNT(L4:L13)</f>
        <v>0</v>
      </c>
      <c r="M15">
        <f ca="1">COUNT(M4:M13)</f>
        <v>0</v>
      </c>
      <c r="N15" s="10">
        <f ca="1">COUNT(N4:N13)</f>
        <v>0</v>
      </c>
      <c r="O15" s="16">
        <f ca="1">SUM(L15:N15)</f>
        <v>0</v>
      </c>
    </row>
    <row r="16" spans="1:25" ht="16.5" x14ac:dyDescent="0.35">
      <c r="K16" s="17" t="s">
        <v>40</v>
      </c>
      <c r="L16" s="14" t="e">
        <f ca="1">L14^2/L15</f>
        <v>#NAME?</v>
      </c>
      <c r="M16" s="12" t="e">
        <f ca="1">M14^2/M15</f>
        <v>#NAME?</v>
      </c>
      <c r="N16" s="15" t="e">
        <f ca="1">N14^2/N15</f>
        <v>#NAME?</v>
      </c>
      <c r="O16" s="18" t="e">
        <f ca="1">SUM(L16:N16)</f>
        <v>#NAME?</v>
      </c>
      <c r="Q16" t="s">
        <v>41</v>
      </c>
    </row>
    <row r="17" spans="1:23" x14ac:dyDescent="0.35">
      <c r="K17" s="17" t="s">
        <v>42</v>
      </c>
      <c r="O17" s="19" t="e">
        <f ca="1">12*O16/(O15*(O15+1))-3*(O15+1)</f>
        <v>#NAME?</v>
      </c>
    </row>
    <row r="18" spans="1:23" ht="15" thickBot="1" x14ac:dyDescent="0.4">
      <c r="K18" s="17" t="s">
        <v>25</v>
      </c>
      <c r="O18" s="19">
        <f>COUNTA(L3:N3)-1</f>
        <v>2</v>
      </c>
      <c r="Q18" t="s">
        <v>43</v>
      </c>
    </row>
    <row r="19" spans="1:23" x14ac:dyDescent="0.35">
      <c r="K19" s="17" t="s">
        <v>44</v>
      </c>
      <c r="O19" s="19" t="e">
        <f ca="1">CHIDIST(O17,O18)</f>
        <v>#NAME?</v>
      </c>
      <c r="Q19" s="20" t="s">
        <v>45</v>
      </c>
      <c r="R19" s="20" t="s">
        <v>11</v>
      </c>
      <c r="S19" s="20" t="s">
        <v>12</v>
      </c>
      <c r="T19" s="20" t="s">
        <v>46</v>
      </c>
      <c r="U19" s="20" t="s">
        <v>14</v>
      </c>
    </row>
    <row r="20" spans="1:23" x14ac:dyDescent="0.35">
      <c r="K20" s="17" t="s">
        <v>47</v>
      </c>
      <c r="O20" s="19">
        <v>0.05</v>
      </c>
      <c r="Q20" t="s">
        <v>4</v>
      </c>
      <c r="R20">
        <v>10</v>
      </c>
      <c r="S20">
        <v>473</v>
      </c>
      <c r="T20">
        <v>47.3</v>
      </c>
      <c r="U20">
        <v>206.67777777777761</v>
      </c>
    </row>
    <row r="21" spans="1:23" x14ac:dyDescent="0.35">
      <c r="K21" s="17" t="s">
        <v>48</v>
      </c>
      <c r="O21" s="21" t="e">
        <f ca="1">IF(O19&lt;O20,"yes","no")</f>
        <v>#NAME?</v>
      </c>
      <c r="Q21" t="s">
        <v>5</v>
      </c>
      <c r="R21">
        <v>9</v>
      </c>
      <c r="S21">
        <v>273</v>
      </c>
      <c r="T21">
        <v>30.333333333333332</v>
      </c>
      <c r="U21">
        <v>92.75</v>
      </c>
    </row>
    <row r="22" spans="1:23" ht="15" thickBot="1" x14ac:dyDescent="0.4">
      <c r="Q22" s="22" t="s">
        <v>6</v>
      </c>
      <c r="R22" s="22">
        <v>8</v>
      </c>
      <c r="S22" s="22">
        <v>230</v>
      </c>
      <c r="T22" s="22">
        <v>28.75</v>
      </c>
      <c r="U22" s="22">
        <v>173.64285714285714</v>
      </c>
    </row>
    <row r="23" spans="1:23" x14ac:dyDescent="0.35">
      <c r="F23" t="s">
        <v>49</v>
      </c>
      <c r="G23" s="23">
        <v>2.2000000000000002</v>
      </c>
    </row>
    <row r="24" spans="1:23" x14ac:dyDescent="0.35">
      <c r="K24" t="s">
        <v>50</v>
      </c>
    </row>
    <row r="25" spans="1:23" ht="15" thickBot="1" x14ac:dyDescent="0.4">
      <c r="A25" s="1" t="s">
        <v>51</v>
      </c>
      <c r="G25" s="24" t="str">
        <f>B3</f>
        <v>New</v>
      </c>
      <c r="H25" s="24" t="str">
        <f t="shared" ref="H25:I25" si="3">C3</f>
        <v>Old</v>
      </c>
      <c r="I25" s="24" t="str">
        <f t="shared" si="3"/>
        <v>Control</v>
      </c>
      <c r="Q25" t="s">
        <v>23</v>
      </c>
    </row>
    <row r="26" spans="1:23" x14ac:dyDescent="0.35">
      <c r="F26" t="s">
        <v>52</v>
      </c>
      <c r="G26" s="25">
        <f>G33-$G40</f>
        <v>32</v>
      </c>
      <c r="H26" s="26">
        <f t="shared" ref="H26:I26" si="4">H33-$G40</f>
        <v>15</v>
      </c>
      <c r="I26" s="27">
        <f t="shared" si="4"/>
        <v>17</v>
      </c>
      <c r="L26" t="str">
        <f>B3</f>
        <v>New</v>
      </c>
      <c r="M26" t="str">
        <f t="shared" ref="M26:N26" si="5">C3</f>
        <v>Old</v>
      </c>
      <c r="N26" t="str">
        <f t="shared" si="5"/>
        <v>Control</v>
      </c>
      <c r="Q26" s="20" t="s">
        <v>53</v>
      </c>
      <c r="R26" s="20" t="s">
        <v>15</v>
      </c>
      <c r="S26" s="20" t="s">
        <v>25</v>
      </c>
      <c r="T26" s="20" t="s">
        <v>26</v>
      </c>
      <c r="U26" s="20" t="s">
        <v>27</v>
      </c>
      <c r="V26" s="20" t="s">
        <v>54</v>
      </c>
      <c r="W26" s="20" t="s">
        <v>55</v>
      </c>
    </row>
    <row r="27" spans="1:23" x14ac:dyDescent="0.35">
      <c r="B27" s="4" t="s">
        <v>56</v>
      </c>
      <c r="C27" s="4" t="s">
        <v>57</v>
      </c>
      <c r="D27" s="4" t="s">
        <v>58</v>
      </c>
      <c r="F27" t="s">
        <v>59</v>
      </c>
      <c r="G27" s="28">
        <f>MAX(G34-G33,0)</f>
        <v>6.75</v>
      </c>
      <c r="H27">
        <f t="shared" ref="H27:I27" si="6">MAX(H34-H33,0)</f>
        <v>10</v>
      </c>
      <c r="I27" s="29">
        <f t="shared" si="6"/>
        <v>1.75</v>
      </c>
      <c r="K27" t="s">
        <v>60</v>
      </c>
      <c r="L27" s="25">
        <f>MEDIAN(B4:B13)</f>
        <v>43</v>
      </c>
      <c r="M27" s="26">
        <f t="shared" ref="M27:N27" si="7">MEDIAN(C4:C13)</f>
        <v>30</v>
      </c>
      <c r="N27" s="27">
        <f t="shared" si="7"/>
        <v>23</v>
      </c>
      <c r="Q27" t="s">
        <v>33</v>
      </c>
      <c r="R27">
        <v>1985.8074074074079</v>
      </c>
      <c r="S27">
        <v>2</v>
      </c>
      <c r="T27">
        <v>992.90370370370397</v>
      </c>
      <c r="U27">
        <v>6.2420601657818775</v>
      </c>
      <c r="V27">
        <v>6.5658105468237027E-3</v>
      </c>
      <c r="W27">
        <v>3.4028261053501945</v>
      </c>
    </row>
    <row r="28" spans="1:23" x14ac:dyDescent="0.35">
      <c r="A28" t="s">
        <v>4</v>
      </c>
      <c r="B28" s="6" t="e">
        <f t="shared" ref="B28:C30" ca="1" si="8">M6</f>
        <v>#NAME?</v>
      </c>
      <c r="C28" s="7" t="e">
        <f t="shared" ca="1" si="8"/>
        <v>#NAME?</v>
      </c>
      <c r="D28" s="8" t="e">
        <f ca="1">C28/B28</f>
        <v>#NAME?</v>
      </c>
      <c r="F28" t="s">
        <v>61</v>
      </c>
      <c r="G28" s="28">
        <f t="shared" ref="G28:I30" si="9">MAX(G35-G34,0)</f>
        <v>4.25</v>
      </c>
      <c r="H28">
        <f t="shared" si="9"/>
        <v>5</v>
      </c>
      <c r="I28" s="29">
        <f t="shared" si="9"/>
        <v>4.25</v>
      </c>
      <c r="K28" t="s">
        <v>62</v>
      </c>
      <c r="L28" s="28" t="e">
        <f ca="1">RANK_SUM(B4:D13, 1,1)</f>
        <v>#NAME?</v>
      </c>
      <c r="M28" t="e">
        <f ca="1">RANK_SUM(B4:D13, 2,1)</f>
        <v>#NAME?</v>
      </c>
      <c r="N28" s="29" t="e">
        <f ca="1">RANK_SUM(B4:D13, 3,1)</f>
        <v>#NAME?</v>
      </c>
      <c r="Q28" t="s">
        <v>34</v>
      </c>
      <c r="R28">
        <v>3817.6</v>
      </c>
      <c r="S28">
        <v>24</v>
      </c>
      <c r="T28">
        <v>159.06666666666666</v>
      </c>
    </row>
    <row r="29" spans="1:23" x14ac:dyDescent="0.35">
      <c r="A29" t="s">
        <v>5</v>
      </c>
      <c r="B29" s="9" t="e">
        <f t="shared" ca="1" si="8"/>
        <v>#NAME?</v>
      </c>
      <c r="C29" t="e">
        <f t="shared" ca="1" si="8"/>
        <v>#NAME?</v>
      </c>
      <c r="D29" s="10" t="e">
        <f ca="1">C29/B29</f>
        <v>#NAME?</v>
      </c>
      <c r="F29" t="s">
        <v>63</v>
      </c>
      <c r="G29" s="28">
        <f t="shared" si="9"/>
        <v>5.5</v>
      </c>
      <c r="H29">
        <f t="shared" si="9"/>
        <v>2</v>
      </c>
      <c r="I29" s="29">
        <f t="shared" si="9"/>
        <v>13.75</v>
      </c>
      <c r="K29" t="s">
        <v>64</v>
      </c>
      <c r="L29" s="28">
        <f>COUNT(B4:B13)</f>
        <v>10</v>
      </c>
      <c r="M29">
        <f t="shared" ref="M29:N29" si="10">COUNT(C4:C13)</f>
        <v>9</v>
      </c>
      <c r="N29" s="29">
        <f t="shared" si="10"/>
        <v>8</v>
      </c>
      <c r="O29" s="30">
        <f>SUM(L29:N29)</f>
        <v>27</v>
      </c>
    </row>
    <row r="30" spans="1:23" ht="15" thickBot="1" x14ac:dyDescent="0.4">
      <c r="A30" t="s">
        <v>6</v>
      </c>
      <c r="B30" s="14" t="e">
        <f t="shared" ca="1" si="8"/>
        <v>#NAME?</v>
      </c>
      <c r="C30" s="12" t="e">
        <f t="shared" ca="1" si="8"/>
        <v>#NAME?</v>
      </c>
      <c r="D30" s="15" t="e">
        <f ca="1">C30/B30</f>
        <v>#NAME?</v>
      </c>
      <c r="F30" t="s">
        <v>65</v>
      </c>
      <c r="G30" s="28">
        <f t="shared" si="9"/>
        <v>13.5</v>
      </c>
      <c r="H30">
        <f t="shared" si="9"/>
        <v>8</v>
      </c>
      <c r="I30" s="29">
        <f t="shared" si="9"/>
        <v>12.25</v>
      </c>
      <c r="K30" t="s">
        <v>66</v>
      </c>
      <c r="L30" s="31" t="e">
        <f ca="1">L28^2/L29</f>
        <v>#NAME?</v>
      </c>
      <c r="M30" s="32" t="e">
        <f t="shared" ref="M30:N30" ca="1" si="11">M28^2/M29</f>
        <v>#NAME?</v>
      </c>
      <c r="N30" s="33" t="e">
        <f t="shared" ca="1" si="11"/>
        <v>#NAME?</v>
      </c>
      <c r="O30" s="34" t="e">
        <f ca="1">SUM(L30:N30)</f>
        <v>#NAME?</v>
      </c>
      <c r="Q30" s="22" t="s">
        <v>37</v>
      </c>
      <c r="R30" s="22">
        <v>5803.4074074074078</v>
      </c>
      <c r="S30" s="22">
        <v>26</v>
      </c>
      <c r="T30" s="22"/>
      <c r="U30" s="22"/>
      <c r="V30" s="22"/>
      <c r="W30" s="22"/>
    </row>
    <row r="31" spans="1:23" x14ac:dyDescent="0.35">
      <c r="F31" t="s">
        <v>13</v>
      </c>
      <c r="G31" s="31">
        <f>G38-$G40</f>
        <v>47.3</v>
      </c>
      <c r="H31" s="32">
        <f t="shared" ref="H31:I31" si="12">H38-$G40</f>
        <v>30.333333333333332</v>
      </c>
      <c r="I31" s="33">
        <f t="shared" si="12"/>
        <v>28.75</v>
      </c>
      <c r="K31" t="s">
        <v>67</v>
      </c>
      <c r="O31" s="34" t="e">
        <f ca="1">12*O30/(O29*(O29+1))-3*(O29+1)</f>
        <v>#NAME?</v>
      </c>
    </row>
    <row r="32" spans="1:23" x14ac:dyDescent="0.35">
      <c r="A32" t="s">
        <v>56</v>
      </c>
      <c r="B32" s="16" t="e">
        <f ca="1">SUM(B28:B30)</f>
        <v>#NAME?</v>
      </c>
      <c r="K32" t="s">
        <v>68</v>
      </c>
      <c r="O32" s="34" t="e">
        <f ca="1">O31/(1-TiesCorrection(B4:D13)/(27*(27^2-1)))</f>
        <v>#NAME?</v>
      </c>
      <c r="Q32" t="s">
        <v>3</v>
      </c>
    </row>
    <row r="33" spans="1:25" x14ac:dyDescent="0.35">
      <c r="A33" t="s">
        <v>69</v>
      </c>
      <c r="B33" s="19">
        <f>COUNTA(B3:D3)</f>
        <v>3</v>
      </c>
      <c r="F33" t="s">
        <v>52</v>
      </c>
      <c r="G33" s="25">
        <f t="array" ref="G33">MIN(IF(ISBLANK(B4:B13),"",IF(B4:B13&gt;=G34-$G23*(G36-G34),B4:B13,"")))</f>
        <v>32</v>
      </c>
      <c r="H33" s="26">
        <f t="array" ref="H33">MIN(IF(ISBLANK(C4:C13),"",IF(C4:C13&gt;=H34-$G23*(H36-H34),C4:C13,"")))</f>
        <v>15</v>
      </c>
      <c r="I33" s="27">
        <f t="array" ref="I33">MIN(IF(ISBLANK(D4:D13),"",IF(D4:D13&gt;=I34-$G23*(I36-I34),D4:D13,"")))</f>
        <v>17</v>
      </c>
      <c r="K33" t="s">
        <v>25</v>
      </c>
      <c r="O33" s="34">
        <f>COUNTA(L26:N26)-1</f>
        <v>2</v>
      </c>
    </row>
    <row r="34" spans="1:25" ht="15" thickBot="1" x14ac:dyDescent="0.4">
      <c r="A34" t="s">
        <v>47</v>
      </c>
      <c r="B34" s="19">
        <v>0.05</v>
      </c>
      <c r="F34" t="s">
        <v>70</v>
      </c>
      <c r="G34" s="28">
        <f>_xlfn.QUARTILE.INC(B4:B13,1)</f>
        <v>38.75</v>
      </c>
      <c r="H34">
        <f t="shared" ref="H34:I34" si="13">_xlfn.QUARTILE.INC(C4:C13,1)</f>
        <v>25</v>
      </c>
      <c r="I34" s="29">
        <f t="shared" si="13"/>
        <v>18.75</v>
      </c>
      <c r="K34" t="s">
        <v>19</v>
      </c>
      <c r="O34" s="34" t="e">
        <f ca="1">_xlfn.CHISQ.DIST.RT(O32,O33)</f>
        <v>#NAME?</v>
      </c>
      <c r="Q34" t="s">
        <v>7</v>
      </c>
      <c r="V34" t="s">
        <v>8</v>
      </c>
      <c r="W34">
        <v>0.05</v>
      </c>
    </row>
    <row r="35" spans="1:25" ht="17" thickTop="1" x14ac:dyDescent="0.45">
      <c r="A35" t="s">
        <v>71</v>
      </c>
      <c r="B35" s="18">
        <f>CHIINV(B34,B33-1)</f>
        <v>5.9914645471079817</v>
      </c>
      <c r="F35" t="s">
        <v>72</v>
      </c>
      <c r="G35" s="28">
        <f>MEDIAN(B4:B13)</f>
        <v>43</v>
      </c>
      <c r="H35">
        <f t="shared" ref="H35:I35" si="14">MEDIAN(C4:C13)</f>
        <v>30</v>
      </c>
      <c r="I35" s="29">
        <f t="shared" si="14"/>
        <v>23</v>
      </c>
      <c r="K35" t="s">
        <v>20</v>
      </c>
      <c r="O35" s="34">
        <v>0.05</v>
      </c>
      <c r="Q35" s="11" t="s">
        <v>10</v>
      </c>
      <c r="R35" s="11" t="s">
        <v>11</v>
      </c>
      <c r="S35" s="11" t="s">
        <v>12</v>
      </c>
      <c r="T35" s="11" t="s">
        <v>13</v>
      </c>
      <c r="U35" s="11" t="s">
        <v>14</v>
      </c>
      <c r="V35" s="11" t="s">
        <v>15</v>
      </c>
      <c r="W35" s="11" t="s">
        <v>16</v>
      </c>
      <c r="X35" s="11" t="s">
        <v>17</v>
      </c>
      <c r="Y35" s="11" t="s">
        <v>18</v>
      </c>
    </row>
    <row r="36" spans="1:25" x14ac:dyDescent="0.35">
      <c r="F36" t="s">
        <v>73</v>
      </c>
      <c r="G36" s="28">
        <f>_xlfn.QUARTILE.INC(B4:B13,3)</f>
        <v>48.5</v>
      </c>
      <c r="H36">
        <f t="shared" ref="H36:I36" si="15">_xlfn.QUARTILE.INC(C4:C13,3)</f>
        <v>32</v>
      </c>
      <c r="I36" s="29">
        <f t="shared" si="15"/>
        <v>36.75</v>
      </c>
      <c r="K36" t="s">
        <v>48</v>
      </c>
      <c r="O36" s="35" t="e">
        <f ca="1">IF(O34&lt;O35,"yes","no")</f>
        <v>#NAME?</v>
      </c>
      <c r="Q36" t="str">
        <f>L3</f>
        <v>New</v>
      </c>
      <c r="R36">
        <f ca="1">COUNT(L4:L13)</f>
        <v>0</v>
      </c>
      <c r="S36" t="e">
        <f ca="1">SUM(L4:L13)</f>
        <v>#NAME?</v>
      </c>
      <c r="T36" t="e">
        <f ca="1">AVERAGE(L4:L13)</f>
        <v>#NAME?</v>
      </c>
      <c r="U36" t="e">
        <f ca="1">_xlfn.VAR.S(L4:L13)</f>
        <v>#NAME?</v>
      </c>
      <c r="V36" t="e">
        <f ca="1">DEVSQ(L4:L13)</f>
        <v>#NAME?</v>
      </c>
      <c r="W36" t="e">
        <f ca="1">SQRT(T43/R36)</f>
        <v>#NAME?</v>
      </c>
      <c r="X36" t="e">
        <f ca="1">T36-W36*_xlfn.T.INV.2T(W34,S43)</f>
        <v>#NAME?</v>
      </c>
      <c r="Y36" t="e">
        <f ca="1">T36+W36*_xlfn.T.INV.2T(W34,S43)</f>
        <v>#NAME?</v>
      </c>
    </row>
    <row r="37" spans="1:25" x14ac:dyDescent="0.35">
      <c r="B37" s="4" t="s">
        <v>74</v>
      </c>
      <c r="C37" s="4" t="s">
        <v>75</v>
      </c>
      <c r="D37" s="4" t="s">
        <v>48</v>
      </c>
      <c r="F37" t="s">
        <v>76</v>
      </c>
      <c r="G37" s="28">
        <f t="array" ref="G37">MAX(IF(ISBLANK(B4:B13),"",IF(B4:B13&lt;=G36+$G23*(G36-G34),B4:B13,"")))</f>
        <v>62</v>
      </c>
      <c r="H37">
        <f t="array" ref="H37">MAX(IF(ISBLANK(C4:C13),"",IF(C4:C13&lt;=H36+$G23*(H36-H34),C4:C13,"")))</f>
        <v>40</v>
      </c>
      <c r="I37" s="29">
        <f t="array" ref="I37">MAX(IF(ISBLANK(D4:D13),"",IF(D4:D13&lt;=I36+$G23*(I36-I34),D4:D13,"")))</f>
        <v>49</v>
      </c>
      <c r="Q37" t="str">
        <f>M3</f>
        <v>Old</v>
      </c>
      <c r="R37">
        <f ca="1">COUNT(M4:M13)</f>
        <v>0</v>
      </c>
      <c r="S37" t="e">
        <f ca="1">SUM(M4:M13)</f>
        <v>#NAME?</v>
      </c>
      <c r="T37" t="e">
        <f ca="1">AVERAGE(M4:M13)</f>
        <v>#NAME?</v>
      </c>
      <c r="U37" t="e">
        <f ca="1">_xlfn.VAR.S(M4:M13)</f>
        <v>#NAME?</v>
      </c>
      <c r="V37" t="e">
        <f ca="1">DEVSQ(M4:M13)</f>
        <v>#NAME?</v>
      </c>
      <c r="W37" t="e">
        <f ca="1">SQRT(T43/R37)</f>
        <v>#NAME?</v>
      </c>
      <c r="X37" t="e">
        <f ca="1">T37-W37*_xlfn.T.INV.2T(W34,S43)</f>
        <v>#NAME?</v>
      </c>
      <c r="Y37" t="e">
        <f ca="1">T37+W37*_xlfn.T.INV.2T(W34,S43)</f>
        <v>#NAME?</v>
      </c>
    </row>
    <row r="38" spans="1:25" x14ac:dyDescent="0.35">
      <c r="A38" t="s">
        <v>77</v>
      </c>
      <c r="B38" s="6" t="e">
        <f ca="1">ABS(D28-D29)</f>
        <v>#NAME?</v>
      </c>
      <c r="C38" s="7" t="e">
        <f ca="1">SQRT(B35*B32*(B32+1)/12*(1/B28+1/B29))</f>
        <v>#NAME?</v>
      </c>
      <c r="D38" s="36" t="e">
        <f ca="1">IF(B38&gt;C38,"yes","no")</f>
        <v>#NAME?</v>
      </c>
      <c r="F38" t="s">
        <v>13</v>
      </c>
      <c r="G38" s="31">
        <f>AVERAGE(B4:B13)</f>
        <v>47.3</v>
      </c>
      <c r="H38" s="32">
        <f t="shared" ref="H38:I38" si="16">AVERAGE(C4:C13)</f>
        <v>30.333333333333332</v>
      </c>
      <c r="I38" s="33">
        <f t="shared" si="16"/>
        <v>28.75</v>
      </c>
      <c r="Q38" t="str">
        <f>N3</f>
        <v>Control</v>
      </c>
      <c r="R38">
        <f ca="1">COUNT(N4:N13)</f>
        <v>0</v>
      </c>
      <c r="S38" t="e">
        <f ca="1">SUM(N4:N13)</f>
        <v>#NAME?</v>
      </c>
      <c r="T38" t="e">
        <f ca="1">AVERAGE(N4:N13)</f>
        <v>#NAME?</v>
      </c>
      <c r="U38" t="e">
        <f ca="1">_xlfn.VAR.S(N4:N13)</f>
        <v>#NAME?</v>
      </c>
      <c r="V38" t="e">
        <f ca="1">DEVSQ(N4:N13)</f>
        <v>#NAME?</v>
      </c>
      <c r="W38" t="e">
        <f ca="1">SQRT(T43/R38)</f>
        <v>#NAME?</v>
      </c>
      <c r="X38" t="e">
        <f ca="1">T38-W38*_xlfn.T.INV.2T(W34,S43)</f>
        <v>#NAME?</v>
      </c>
      <c r="Y38" t="e">
        <f ca="1">T38+W38*_xlfn.T.INV.2T(W34,S43)</f>
        <v>#NAME?</v>
      </c>
    </row>
    <row r="39" spans="1:25" x14ac:dyDescent="0.35">
      <c r="A39" t="s">
        <v>78</v>
      </c>
      <c r="B39" s="9" t="e">
        <f ca="1">ABS(D28-D30)</f>
        <v>#NAME?</v>
      </c>
      <c r="C39" t="e">
        <f ca="1">SQRT(B35*B32*(B32+1)/12*(1/B28+1/B30))</f>
        <v>#NAME?</v>
      </c>
      <c r="D39" s="37" t="e">
        <f ca="1">IF(B39&gt;C39,"yes","no")</f>
        <v>#NAME?</v>
      </c>
      <c r="Q39" s="7"/>
      <c r="R39" s="7"/>
      <c r="S39" s="7"/>
      <c r="T39" s="7"/>
      <c r="U39" s="7"/>
      <c r="V39" s="7"/>
      <c r="W39" s="7"/>
      <c r="X39" s="7"/>
      <c r="Y39" s="7"/>
    </row>
    <row r="40" spans="1:25" ht="15" thickBot="1" x14ac:dyDescent="0.4">
      <c r="A40" t="s">
        <v>79</v>
      </c>
      <c r="B40" s="14" t="e">
        <f ca="1">ABS(D29-D30)</f>
        <v>#NAME?</v>
      </c>
      <c r="C40" s="12" t="e">
        <f ca="1">SQRT(B35*B32*(B32+1)/12*(1/B29+1/B30))</f>
        <v>#NAME?</v>
      </c>
      <c r="D40" s="38" t="e">
        <f ca="1">IF(B40&gt;C40,"yes","no")</f>
        <v>#NAME?</v>
      </c>
      <c r="F40" t="s">
        <v>80</v>
      </c>
      <c r="G40" s="23">
        <f>IF(MIN(G33:I33)&gt;=0,0,MIN(G33:I33))</f>
        <v>0</v>
      </c>
      <c r="Q40" t="s">
        <v>23</v>
      </c>
    </row>
    <row r="41" spans="1:25" ht="15" thickTop="1" x14ac:dyDescent="0.35">
      <c r="Q41" s="11" t="s">
        <v>24</v>
      </c>
      <c r="R41" s="11" t="s">
        <v>15</v>
      </c>
      <c r="S41" s="11" t="s">
        <v>25</v>
      </c>
      <c r="T41" s="11" t="s">
        <v>26</v>
      </c>
      <c r="U41" s="11" t="s">
        <v>27</v>
      </c>
      <c r="V41" s="11" t="s">
        <v>28</v>
      </c>
      <c r="W41" s="11" t="s">
        <v>55</v>
      </c>
      <c r="X41" s="11" t="s">
        <v>30</v>
      </c>
      <c r="Y41" s="11" t="s">
        <v>31</v>
      </c>
    </row>
    <row r="42" spans="1:25" x14ac:dyDescent="0.35">
      <c r="F42" t="s">
        <v>81</v>
      </c>
      <c r="G42">
        <f>B4</f>
        <v>81</v>
      </c>
      <c r="H42">
        <f>C4</f>
        <v>48</v>
      </c>
      <c r="I42" t="s">
        <v>82</v>
      </c>
      <c r="Q42" t="s">
        <v>33</v>
      </c>
      <c r="R42" t="e">
        <f ca="1">R44-R43</f>
        <v>#NAME?</v>
      </c>
      <c r="S42">
        <f>COUNTA(Q36:Q38)-1</f>
        <v>2</v>
      </c>
      <c r="T42" t="e">
        <f ca="1">R42/S42</f>
        <v>#NAME?</v>
      </c>
      <c r="U42" t="e">
        <f ca="1">T42/T43</f>
        <v>#NAME?</v>
      </c>
      <c r="V42" t="e">
        <f ca="1">_xlfn.F.DIST.RT(U42,S42,S43)</f>
        <v>#NAME?</v>
      </c>
      <c r="W42" t="e">
        <f ca="1">_xlfn.F.INV.RT(W34,S42,S43)</f>
        <v>#NUM!</v>
      </c>
      <c r="X42" t="e">
        <f ca="1">SQRT(DEVSQ(T36:T38)/(T43*S42))</f>
        <v>#NAME?</v>
      </c>
      <c r="Y42" t="e">
        <f ca="1">(R44-S44*T43)/(R44+T43)</f>
        <v>#NAME?</v>
      </c>
    </row>
    <row r="43" spans="1:25" x14ac:dyDescent="0.35">
      <c r="Q43" t="s">
        <v>34</v>
      </c>
      <c r="R43" t="e">
        <f ca="1">SUM(V36:V38)</f>
        <v>#NAME?</v>
      </c>
      <c r="S43">
        <f ca="1">S44-S42</f>
        <v>-3</v>
      </c>
      <c r="T43" t="e">
        <f ca="1">R43/S43</f>
        <v>#NAME?</v>
      </c>
    </row>
    <row r="44" spans="1:25" x14ac:dyDescent="0.35">
      <c r="Q44" s="12" t="s">
        <v>37</v>
      </c>
      <c r="R44" s="12" t="e">
        <f ca="1">DEVSQ(L4:N13)</f>
        <v>#NAME?</v>
      </c>
      <c r="S44" s="12">
        <f ca="1">COUNT(L4:N13)-1</f>
        <v>-1</v>
      </c>
      <c r="T44" s="12" t="e">
        <f ca="1">R44/S44</f>
        <v>#NAME?</v>
      </c>
      <c r="U44" s="12"/>
      <c r="V44" s="12"/>
      <c r="W44" s="12"/>
      <c r="X44" s="12"/>
      <c r="Y44" s="12"/>
    </row>
    <row r="46" spans="1:25" x14ac:dyDescent="0.35">
      <c r="F46" s="3" t="s">
        <v>83</v>
      </c>
      <c r="G46" s="3" t="s">
        <v>19</v>
      </c>
      <c r="L46" s="3" t="s">
        <v>4</v>
      </c>
      <c r="M46" s="3" t="s">
        <v>5</v>
      </c>
      <c r="N46" s="3" t="s">
        <v>6</v>
      </c>
      <c r="Q46" t="s">
        <v>41</v>
      </c>
    </row>
    <row r="47" spans="1:25" x14ac:dyDescent="0.35">
      <c r="E47" t="s">
        <v>67</v>
      </c>
      <c r="F47" s="39" t="e" cm="1">
        <f t="array" aca="1" ref="F47" ca="1">KRUSKAL(B4:D13,FALSE)</f>
        <v>#NAME?</v>
      </c>
      <c r="G47" s="40" t="e" cm="1">
        <f t="array" aca="1" ref="G47" ca="1">KTEST(B4:D13,FALSE)</f>
        <v>#NAME?</v>
      </c>
      <c r="L47" s="39">
        <v>27</v>
      </c>
      <c r="M47" s="41">
        <v>22.5</v>
      </c>
      <c r="N47" s="40">
        <v>3</v>
      </c>
    </row>
    <row r="48" spans="1:25" ht="15" thickBot="1" x14ac:dyDescent="0.4">
      <c r="E48" t="s">
        <v>68</v>
      </c>
      <c r="F48" s="14" t="e" cm="1">
        <f t="array" aca="1" ref="F48" ca="1">KRUSKAL(B4:D13)</f>
        <v>#NAME?</v>
      </c>
      <c r="G48" s="15" t="e" cm="1">
        <f t="array" aca="1" ref="G48" ca="1">KTEST(B4:D13)</f>
        <v>#NAME?</v>
      </c>
      <c r="L48" s="9">
        <v>12.5</v>
      </c>
      <c r="M48">
        <v>11</v>
      </c>
      <c r="N48" s="10">
        <v>24.5</v>
      </c>
      <c r="Q48" t="s">
        <v>43</v>
      </c>
    </row>
    <row r="49" spans="5:23" x14ac:dyDescent="0.35">
      <c r="L49" s="9">
        <v>19</v>
      </c>
      <c r="M49">
        <v>8</v>
      </c>
      <c r="N49" s="10">
        <v>14</v>
      </c>
      <c r="Q49" s="20" t="s">
        <v>45</v>
      </c>
      <c r="R49" s="20" t="s">
        <v>11</v>
      </c>
      <c r="S49" s="20" t="s">
        <v>12</v>
      </c>
      <c r="T49" s="20" t="s">
        <v>46</v>
      </c>
      <c r="U49" s="20" t="s">
        <v>14</v>
      </c>
    </row>
    <row r="50" spans="5:23" x14ac:dyDescent="0.35">
      <c r="E50" t="e">
        <f t="array" aca="1" ref="E50:F53" ca="1">KW_TEST(B4:D13,TRUE)</f>
        <v>#NAME?</v>
      </c>
      <c r="F50" s="42" t="e">
        <f ca="1"/>
        <v>#NAME?</v>
      </c>
      <c r="L50" s="9">
        <v>26</v>
      </c>
      <c r="M50">
        <v>5.5</v>
      </c>
      <c r="N50" s="10">
        <v>4</v>
      </c>
      <c r="Q50" t="s">
        <v>4</v>
      </c>
      <c r="R50">
        <v>10</v>
      </c>
      <c r="S50">
        <v>199</v>
      </c>
      <c r="T50">
        <v>19.899999999999999</v>
      </c>
      <c r="U50">
        <v>23.155555555555566</v>
      </c>
    </row>
    <row r="51" spans="5:23" x14ac:dyDescent="0.35">
      <c r="E51" t="e">
        <f ca="1"/>
        <v>#NAME?</v>
      </c>
      <c r="F51" s="19" t="e">
        <f ca="1"/>
        <v>#NAME?</v>
      </c>
      <c r="L51" s="9">
        <v>15</v>
      </c>
      <c r="M51">
        <v>9.5</v>
      </c>
      <c r="N51" s="10">
        <v>7</v>
      </c>
      <c r="Q51" t="s">
        <v>5</v>
      </c>
      <c r="R51">
        <v>9</v>
      </c>
      <c r="S51">
        <v>96.5</v>
      </c>
      <c r="T51">
        <v>10.722222222222221</v>
      </c>
      <c r="U51">
        <v>39.194444444444457</v>
      </c>
    </row>
    <row r="52" spans="5:23" ht="15" thickBot="1" x14ac:dyDescent="0.4">
      <c r="E52" t="e">
        <f ca="1"/>
        <v>#NAME?</v>
      </c>
      <c r="F52" s="19" t="e">
        <f ca="1"/>
        <v>#NAME?</v>
      </c>
      <c r="L52" s="9">
        <v>20</v>
      </c>
      <c r="M52">
        <v>9.5</v>
      </c>
      <c r="N52" s="10">
        <v>2</v>
      </c>
      <c r="Q52" s="22" t="s">
        <v>6</v>
      </c>
      <c r="R52" s="22">
        <v>8</v>
      </c>
      <c r="S52" s="22">
        <v>82.5</v>
      </c>
      <c r="T52" s="22">
        <v>10.3125</v>
      </c>
      <c r="U52" s="22">
        <v>79.995535714285708</v>
      </c>
    </row>
    <row r="53" spans="5:23" x14ac:dyDescent="0.35">
      <c r="E53" t="e">
        <f ca="1"/>
        <v>#NAME?</v>
      </c>
      <c r="F53" s="18" t="e">
        <f ca="1"/>
        <v>#NAME?</v>
      </c>
      <c r="L53" s="9">
        <v>16</v>
      </c>
      <c r="M53">
        <v>12.5</v>
      </c>
      <c r="N53" s="10">
        <v>22.5</v>
      </c>
    </row>
    <row r="54" spans="5:23" x14ac:dyDescent="0.35">
      <c r="L54" s="9">
        <v>21</v>
      </c>
      <c r="M54">
        <v>1</v>
      </c>
      <c r="N54" s="10">
        <v>5.5</v>
      </c>
    </row>
    <row r="55" spans="5:23" ht="15" thickBot="1" x14ac:dyDescent="0.4">
      <c r="L55" s="9">
        <v>24.5</v>
      </c>
      <c r="M55">
        <v>17</v>
      </c>
      <c r="N55" s="10"/>
      <c r="Q55" t="s">
        <v>23</v>
      </c>
    </row>
    <row r="56" spans="5:23" x14ac:dyDescent="0.35">
      <c r="L56" s="14">
        <v>18</v>
      </c>
      <c r="M56" s="12"/>
      <c r="N56" s="15"/>
      <c r="Q56" s="20" t="s">
        <v>53</v>
      </c>
      <c r="R56" s="20" t="s">
        <v>15</v>
      </c>
      <c r="S56" s="20" t="s">
        <v>25</v>
      </c>
      <c r="T56" s="20" t="s">
        <v>26</v>
      </c>
      <c r="U56" s="20" t="s">
        <v>27</v>
      </c>
      <c r="V56" s="20" t="s">
        <v>54</v>
      </c>
      <c r="W56" s="20" t="s">
        <v>55</v>
      </c>
    </row>
    <row r="57" spans="5:23" x14ac:dyDescent="0.35">
      <c r="Q57" t="s">
        <v>33</v>
      </c>
      <c r="R57">
        <v>553.57569444444448</v>
      </c>
      <c r="S57">
        <v>2</v>
      </c>
      <c r="T57">
        <v>276.78784722222224</v>
      </c>
      <c r="U57">
        <v>6.1399011919990816</v>
      </c>
      <c r="V57">
        <v>7.0235381707217676E-3</v>
      </c>
      <c r="W57">
        <v>3.4028261053501945</v>
      </c>
    </row>
    <row r="58" spans="5:23" x14ac:dyDescent="0.35">
      <c r="Q58" t="s">
        <v>34</v>
      </c>
      <c r="R58">
        <v>1081.9243055555555</v>
      </c>
      <c r="S58">
        <v>24</v>
      </c>
      <c r="T58">
        <v>45.080179398148147</v>
      </c>
    </row>
    <row r="60" spans="5:23" ht="15" thickBot="1" x14ac:dyDescent="0.4">
      <c r="Q60" s="22" t="s">
        <v>37</v>
      </c>
      <c r="R60" s="22">
        <v>1635.5</v>
      </c>
      <c r="S60" s="22">
        <v>26</v>
      </c>
      <c r="T60" s="22"/>
      <c r="U60" s="22"/>
      <c r="V60" s="22"/>
      <c r="W60" s="22"/>
    </row>
    <row r="62" spans="5:23" x14ac:dyDescent="0.35">
      <c r="Q62" t="s">
        <v>84</v>
      </c>
      <c r="R62">
        <f>R57</f>
        <v>553.57569444444448</v>
      </c>
    </row>
    <row r="63" spans="5:23" x14ac:dyDescent="0.35">
      <c r="Q63" t="s">
        <v>85</v>
      </c>
      <c r="R63">
        <f>(S60+1)*(S60+2)/12</f>
        <v>63</v>
      </c>
    </row>
    <row r="64" spans="5:23" x14ac:dyDescent="0.35">
      <c r="Q64" t="s">
        <v>42</v>
      </c>
      <c r="R64">
        <f>R62/R63</f>
        <v>8.7869157848324519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100F-918D-49FF-9AE6-7A9C6FC85E8F}">
  <dimension ref="A1:Z36"/>
  <sheetViews>
    <sheetView zoomScaleNormal="100" workbookViewId="0"/>
  </sheetViews>
  <sheetFormatPr defaultRowHeight="14.5" x14ac:dyDescent="0.35"/>
  <cols>
    <col min="1" max="1" width="6.26953125" customWidth="1"/>
  </cols>
  <sheetData>
    <row r="1" spans="1:26" x14ac:dyDescent="0.35">
      <c r="A1" s="1" t="s">
        <v>0</v>
      </c>
    </row>
    <row r="2" spans="1:26" ht="8" customHeight="1" x14ac:dyDescent="0.35"/>
    <row r="3" spans="1:26" x14ac:dyDescent="0.35">
      <c r="B3" s="2" t="s">
        <v>4</v>
      </c>
      <c r="C3" s="2" t="s">
        <v>5</v>
      </c>
      <c r="D3" s="2" t="s">
        <v>6</v>
      </c>
      <c r="F3" s="43" t="s">
        <v>86</v>
      </c>
      <c r="H3" t="s">
        <v>1</v>
      </c>
      <c r="W3" t="s">
        <v>92</v>
      </c>
    </row>
    <row r="4" spans="1:26" x14ac:dyDescent="0.35">
      <c r="B4" s="4">
        <v>81</v>
      </c>
      <c r="C4" s="4">
        <v>48</v>
      </c>
      <c r="D4" s="4">
        <v>18</v>
      </c>
      <c r="F4" t="e" cm="1">
        <f t="array" aca="1" ref="F4" ca="1">Anova1ResX(B4:D13)</f>
        <v>#NAME?</v>
      </c>
    </row>
    <row r="5" spans="1:26" x14ac:dyDescent="0.35">
      <c r="B5" s="4">
        <v>32</v>
      </c>
      <c r="C5" s="4">
        <v>31</v>
      </c>
      <c r="D5" s="4">
        <v>49</v>
      </c>
      <c r="H5" s="5"/>
      <c r="I5" s="5" t="str">
        <f>F3</f>
        <v>residuals</v>
      </c>
      <c r="W5" t="s">
        <v>11</v>
      </c>
      <c r="X5">
        <f ca="1">COUNT(F4:F30)</f>
        <v>0</v>
      </c>
      <c r="Y5">
        <f ca="1">2*X5</f>
        <v>0</v>
      </c>
    </row>
    <row r="6" spans="1:26" x14ac:dyDescent="0.35">
      <c r="B6" s="4">
        <v>42</v>
      </c>
      <c r="C6" s="4">
        <v>25</v>
      </c>
      <c r="D6" s="4">
        <v>33</v>
      </c>
      <c r="H6" t="s">
        <v>9</v>
      </c>
      <c r="I6" t="e">
        <f ca="1">SHAPIRO(F4:F30)</f>
        <v>#NAME?</v>
      </c>
      <c r="W6" t="s">
        <v>13</v>
      </c>
      <c r="X6" t="e">
        <f ca="1">AVERAGE(F4:F30)</f>
        <v>#NAME?</v>
      </c>
    </row>
    <row r="7" spans="1:26" x14ac:dyDescent="0.35">
      <c r="B7" s="4">
        <v>62</v>
      </c>
      <c r="C7" s="4">
        <v>22</v>
      </c>
      <c r="D7" s="4">
        <v>19</v>
      </c>
      <c r="H7" t="s">
        <v>19</v>
      </c>
      <c r="I7" t="e">
        <f ca="1">SWTEST(F4:F30)</f>
        <v>#NAME?</v>
      </c>
      <c r="W7" t="s">
        <v>87</v>
      </c>
      <c r="X7" t="e">
        <f ca="1">_xlfn.STDEV.S(F4:F30)</f>
        <v>#NAME?</v>
      </c>
    </row>
    <row r="8" spans="1:26" x14ac:dyDescent="0.35">
      <c r="B8" s="4">
        <v>37</v>
      </c>
      <c r="C8" s="4">
        <v>30</v>
      </c>
      <c r="D8" s="4">
        <v>24</v>
      </c>
      <c r="H8" t="s">
        <v>20</v>
      </c>
      <c r="I8">
        <v>0.05</v>
      </c>
    </row>
    <row r="9" spans="1:26" x14ac:dyDescent="0.35">
      <c r="B9" s="4">
        <v>44</v>
      </c>
      <c r="C9" s="4">
        <v>30</v>
      </c>
      <c r="D9" s="4">
        <v>17</v>
      </c>
      <c r="H9" s="12" t="s">
        <v>21</v>
      </c>
      <c r="I9" s="13" t="e">
        <f ca="1">IF(I7&lt;I8,"no","yes")</f>
        <v>#NAME?</v>
      </c>
      <c r="W9" t="s">
        <v>88</v>
      </c>
      <c r="X9" t="s">
        <v>89</v>
      </c>
      <c r="Y9" t="s">
        <v>90</v>
      </c>
      <c r="Z9" t="s">
        <v>91</v>
      </c>
    </row>
    <row r="10" spans="1:26" x14ac:dyDescent="0.35">
      <c r="B10" s="4">
        <v>38</v>
      </c>
      <c r="C10" s="4">
        <v>32</v>
      </c>
      <c r="D10" s="4">
        <v>48</v>
      </c>
      <c r="W10">
        <v>1</v>
      </c>
      <c r="X10" t="e">
        <f t="array" aca="1" ref="X10:X36" ca="1">QSORT(F4:F30)</f>
        <v>#NAME?</v>
      </c>
      <c r="Y10" t="e">
        <f ca="1">_xlfn.NORM.S.INV(W10/Y$5)</f>
        <v>#DIV/0!</v>
      </c>
      <c r="Z10" t="e">
        <f ca="1">STANDARDIZE(X10,X$6,X$7)</f>
        <v>#NAME?</v>
      </c>
    </row>
    <row r="11" spans="1:26" x14ac:dyDescent="0.35">
      <c r="B11" s="4">
        <v>47</v>
      </c>
      <c r="C11" s="4">
        <v>15</v>
      </c>
      <c r="D11" s="4">
        <v>22</v>
      </c>
      <c r="H11" t="s">
        <v>22</v>
      </c>
      <c r="W11">
        <f>W10+2</f>
        <v>3</v>
      </c>
      <c r="X11" t="e">
        <f ca="1"/>
        <v>#NAME?</v>
      </c>
      <c r="Y11" t="e">
        <f t="shared" ref="Y11:Y36" ca="1" si="0">_xlfn.NORM.S.INV(W11/Y$5)</f>
        <v>#DIV/0!</v>
      </c>
      <c r="Z11" t="e">
        <f t="shared" ref="Z11:Z36" ca="1" si="1">STANDARDIZE(X11,X$6,X$7)</f>
        <v>#NAME?</v>
      </c>
    </row>
    <row r="12" spans="1:26" x14ac:dyDescent="0.35">
      <c r="B12" s="4">
        <v>49</v>
      </c>
      <c r="C12" s="4">
        <v>40</v>
      </c>
      <c r="D12" s="4"/>
      <c r="W12">
        <f t="shared" ref="W12:W36" si="2">W11+2</f>
        <v>5</v>
      </c>
      <c r="X12" t="e">
        <f ca="1"/>
        <v>#NAME?</v>
      </c>
      <c r="Y12" t="e">
        <f t="shared" ca="1" si="0"/>
        <v>#DIV/0!</v>
      </c>
      <c r="Z12" t="e">
        <f t="shared" ca="1" si="1"/>
        <v>#NAME?</v>
      </c>
    </row>
    <row r="13" spans="1:26" x14ac:dyDescent="0.35">
      <c r="B13" s="13">
        <v>41</v>
      </c>
      <c r="C13" s="13"/>
      <c r="D13" s="13"/>
      <c r="H13" s="7" t="s">
        <v>32</v>
      </c>
      <c r="I13" s="7" t="e">
        <f ca="1">DAGOSTINO(F4:F30)</f>
        <v>#NAME?</v>
      </c>
      <c r="W13">
        <f t="shared" si="2"/>
        <v>7</v>
      </c>
      <c r="X13" t="e">
        <f ca="1"/>
        <v>#NAME?</v>
      </c>
      <c r="Y13" t="e">
        <f t="shared" ca="1" si="0"/>
        <v>#DIV/0!</v>
      </c>
      <c r="Z13" t="e">
        <f t="shared" ca="1" si="1"/>
        <v>#NAME?</v>
      </c>
    </row>
    <row r="14" spans="1:26" x14ac:dyDescent="0.35">
      <c r="A14" t="s">
        <v>35</v>
      </c>
      <c r="B14">
        <f>AVERAGE(B4:B13)</f>
        <v>47.3</v>
      </c>
      <c r="C14">
        <f>AVERAGE(C4:C13)</f>
        <v>30.333333333333332</v>
      </c>
      <c r="D14">
        <f>AVERAGE(D4:D13)</f>
        <v>28.75</v>
      </c>
      <c r="H14" t="s">
        <v>19</v>
      </c>
      <c r="I14" t="e">
        <f ca="1">DPTEST(F4:F30)</f>
        <v>#NAME?</v>
      </c>
      <c r="W14">
        <f t="shared" si="2"/>
        <v>9</v>
      </c>
      <c r="X14" t="e">
        <f ca="1"/>
        <v>#NAME?</v>
      </c>
      <c r="Y14" t="e">
        <f t="shared" ca="1" si="0"/>
        <v>#DIV/0!</v>
      </c>
      <c r="Z14" t="e">
        <f t="shared" ca="1" si="1"/>
        <v>#NAME?</v>
      </c>
    </row>
    <row r="15" spans="1:26" x14ac:dyDescent="0.35">
      <c r="A15" t="s">
        <v>38</v>
      </c>
      <c r="B15">
        <f>VAR(B4:B13)</f>
        <v>206.67777777777761</v>
      </c>
      <c r="C15">
        <f>VAR(C4:C13)</f>
        <v>92.75</v>
      </c>
      <c r="D15">
        <f>VAR(D4:D13)</f>
        <v>173.64285714285714</v>
      </c>
      <c r="H15" t="s">
        <v>20</v>
      </c>
      <c r="I15">
        <v>0.05</v>
      </c>
      <c r="W15">
        <f t="shared" si="2"/>
        <v>11</v>
      </c>
      <c r="X15" t="e">
        <f ca="1"/>
        <v>#NAME?</v>
      </c>
      <c r="Y15" t="e">
        <f t="shared" ca="1" si="0"/>
        <v>#DIV/0!</v>
      </c>
      <c r="Z15" t="e">
        <f t="shared" ca="1" si="1"/>
        <v>#NAME?</v>
      </c>
    </row>
    <row r="16" spans="1:26" x14ac:dyDescent="0.35">
      <c r="H16" s="12" t="s">
        <v>21</v>
      </c>
      <c r="I16" s="13" t="e">
        <f ca="1">IF(I14&lt;I15,"no","yes")</f>
        <v>#NAME?</v>
      </c>
      <c r="W16">
        <f t="shared" si="2"/>
        <v>13</v>
      </c>
      <c r="X16" t="e">
        <f ca="1"/>
        <v>#NAME?</v>
      </c>
      <c r="Y16" t="e">
        <f t="shared" ca="1" si="0"/>
        <v>#DIV/0!</v>
      </c>
      <c r="Z16" t="e">
        <f t="shared" ca="1" si="1"/>
        <v>#NAME?</v>
      </c>
    </row>
    <row r="17" spans="6:26" x14ac:dyDescent="0.35">
      <c r="W17">
        <f t="shared" si="2"/>
        <v>15</v>
      </c>
      <c r="X17" t="e">
        <f ca="1"/>
        <v>#NAME?</v>
      </c>
      <c r="Y17" t="e">
        <f t="shared" ca="1" si="0"/>
        <v>#DIV/0!</v>
      </c>
      <c r="Z17" t="e">
        <f t="shared" ca="1" si="1"/>
        <v>#NAME?</v>
      </c>
    </row>
    <row r="18" spans="6:26" x14ac:dyDescent="0.35">
      <c r="W18">
        <f t="shared" si="2"/>
        <v>17</v>
      </c>
      <c r="X18" t="e">
        <f ca="1"/>
        <v>#NAME?</v>
      </c>
      <c r="Y18" t="e">
        <f t="shared" ca="1" si="0"/>
        <v>#DIV/0!</v>
      </c>
      <c r="Z18" t="e">
        <f t="shared" ca="1" si="1"/>
        <v>#NAME?</v>
      </c>
    </row>
    <row r="19" spans="6:26" x14ac:dyDescent="0.35">
      <c r="W19">
        <f t="shared" si="2"/>
        <v>19</v>
      </c>
      <c r="X19" t="e">
        <f ca="1"/>
        <v>#NAME?</v>
      </c>
      <c r="Y19" t="e">
        <f t="shared" ca="1" si="0"/>
        <v>#DIV/0!</v>
      </c>
      <c r="Z19" t="e">
        <f t="shared" ca="1" si="1"/>
        <v>#NAME?</v>
      </c>
    </row>
    <row r="20" spans="6:26" x14ac:dyDescent="0.35">
      <c r="W20">
        <f t="shared" si="2"/>
        <v>21</v>
      </c>
      <c r="X20" t="e">
        <f ca="1"/>
        <v>#NAME?</v>
      </c>
      <c r="Y20" t="e">
        <f t="shared" ca="1" si="0"/>
        <v>#DIV/0!</v>
      </c>
      <c r="Z20" t="e">
        <f t="shared" ca="1" si="1"/>
        <v>#NAME?</v>
      </c>
    </row>
    <row r="21" spans="6:26" x14ac:dyDescent="0.35">
      <c r="W21">
        <f t="shared" si="2"/>
        <v>23</v>
      </c>
      <c r="X21" t="e">
        <f ca="1"/>
        <v>#NAME?</v>
      </c>
      <c r="Y21" t="e">
        <f t="shared" ca="1" si="0"/>
        <v>#DIV/0!</v>
      </c>
      <c r="Z21" t="e">
        <f t="shared" ca="1" si="1"/>
        <v>#NAME?</v>
      </c>
    </row>
    <row r="22" spans="6:26" x14ac:dyDescent="0.35">
      <c r="W22">
        <f t="shared" si="2"/>
        <v>25</v>
      </c>
      <c r="X22" t="e">
        <f ca="1"/>
        <v>#NAME?</v>
      </c>
      <c r="Y22" t="e">
        <f t="shared" ca="1" si="0"/>
        <v>#DIV/0!</v>
      </c>
      <c r="Z22" t="e">
        <f t="shared" ca="1" si="1"/>
        <v>#NAME?</v>
      </c>
    </row>
    <row r="23" spans="6:26" x14ac:dyDescent="0.35">
      <c r="W23">
        <f t="shared" si="2"/>
        <v>27</v>
      </c>
      <c r="X23" t="e">
        <f ca="1"/>
        <v>#NAME?</v>
      </c>
      <c r="Y23" t="e">
        <f t="shared" ca="1" si="0"/>
        <v>#DIV/0!</v>
      </c>
      <c r="Z23" t="e">
        <f t="shared" ca="1" si="1"/>
        <v>#NAME?</v>
      </c>
    </row>
    <row r="24" spans="6:26" x14ac:dyDescent="0.35">
      <c r="W24">
        <f t="shared" si="2"/>
        <v>29</v>
      </c>
      <c r="X24" t="e">
        <f ca="1"/>
        <v>#NAME?</v>
      </c>
      <c r="Y24" t="e">
        <f t="shared" ca="1" si="0"/>
        <v>#DIV/0!</v>
      </c>
      <c r="Z24" t="e">
        <f t="shared" ca="1" si="1"/>
        <v>#NAME?</v>
      </c>
    </row>
    <row r="25" spans="6:26" x14ac:dyDescent="0.35">
      <c r="W25">
        <f t="shared" si="2"/>
        <v>31</v>
      </c>
      <c r="X25" t="e">
        <f ca="1"/>
        <v>#NAME?</v>
      </c>
      <c r="Y25" t="e">
        <f t="shared" ca="1" si="0"/>
        <v>#DIV/0!</v>
      </c>
      <c r="Z25" t="e">
        <f t="shared" ca="1" si="1"/>
        <v>#NAME?</v>
      </c>
    </row>
    <row r="26" spans="6:26" x14ac:dyDescent="0.35">
      <c r="W26">
        <f t="shared" si="2"/>
        <v>33</v>
      </c>
      <c r="X26" t="e">
        <f ca="1"/>
        <v>#NAME?</v>
      </c>
      <c r="Y26" t="e">
        <f t="shared" ca="1" si="0"/>
        <v>#DIV/0!</v>
      </c>
      <c r="Z26" t="e">
        <f t="shared" ca="1" si="1"/>
        <v>#NAME?</v>
      </c>
    </row>
    <row r="27" spans="6:26" x14ac:dyDescent="0.35">
      <c r="W27">
        <f t="shared" si="2"/>
        <v>35</v>
      </c>
      <c r="X27" t="e">
        <f ca="1"/>
        <v>#NAME?</v>
      </c>
      <c r="Y27" t="e">
        <f t="shared" ca="1" si="0"/>
        <v>#DIV/0!</v>
      </c>
      <c r="Z27" t="e">
        <f t="shared" ca="1" si="1"/>
        <v>#NAME?</v>
      </c>
    </row>
    <row r="28" spans="6:26" x14ac:dyDescent="0.35">
      <c r="W28">
        <f t="shared" si="2"/>
        <v>37</v>
      </c>
      <c r="X28" t="e">
        <f ca="1"/>
        <v>#NAME?</v>
      </c>
      <c r="Y28" t="e">
        <f t="shared" ca="1" si="0"/>
        <v>#DIV/0!</v>
      </c>
      <c r="Z28" t="e">
        <f t="shared" ca="1" si="1"/>
        <v>#NAME?</v>
      </c>
    </row>
    <row r="29" spans="6:26" x14ac:dyDescent="0.35">
      <c r="W29">
        <f t="shared" si="2"/>
        <v>39</v>
      </c>
      <c r="X29" t="e">
        <f ca="1"/>
        <v>#NAME?</v>
      </c>
      <c r="Y29" t="e">
        <f t="shared" ca="1" si="0"/>
        <v>#DIV/0!</v>
      </c>
      <c r="Z29" t="e">
        <f t="shared" ca="1" si="1"/>
        <v>#NAME?</v>
      </c>
    </row>
    <row r="30" spans="6:26" x14ac:dyDescent="0.35">
      <c r="F30" s="12"/>
      <c r="W30">
        <f t="shared" si="2"/>
        <v>41</v>
      </c>
      <c r="X30" t="e">
        <f ca="1"/>
        <v>#NAME?</v>
      </c>
      <c r="Y30" t="e">
        <f t="shared" ca="1" si="0"/>
        <v>#DIV/0!</v>
      </c>
      <c r="Z30" t="e">
        <f t="shared" ca="1" si="1"/>
        <v>#NAME?</v>
      </c>
    </row>
    <row r="31" spans="6:26" x14ac:dyDescent="0.35">
      <c r="W31">
        <f t="shared" si="2"/>
        <v>43</v>
      </c>
      <c r="X31" t="e">
        <f ca="1"/>
        <v>#NAME?</v>
      </c>
      <c r="Y31" t="e">
        <f t="shared" ca="1" si="0"/>
        <v>#DIV/0!</v>
      </c>
      <c r="Z31" t="e">
        <f t="shared" ca="1" si="1"/>
        <v>#NAME?</v>
      </c>
    </row>
    <row r="32" spans="6:26" x14ac:dyDescent="0.35">
      <c r="W32">
        <f t="shared" si="2"/>
        <v>45</v>
      </c>
      <c r="X32" t="e">
        <f ca="1"/>
        <v>#NAME?</v>
      </c>
      <c r="Y32" t="e">
        <f t="shared" ca="1" si="0"/>
        <v>#DIV/0!</v>
      </c>
      <c r="Z32" t="e">
        <f t="shared" ca="1" si="1"/>
        <v>#NAME?</v>
      </c>
    </row>
    <row r="33" spans="23:26" x14ac:dyDescent="0.35">
      <c r="W33">
        <f t="shared" si="2"/>
        <v>47</v>
      </c>
      <c r="X33" t="e">
        <f ca="1"/>
        <v>#NAME?</v>
      </c>
      <c r="Y33" t="e">
        <f t="shared" ca="1" si="0"/>
        <v>#DIV/0!</v>
      </c>
      <c r="Z33" t="e">
        <f t="shared" ca="1" si="1"/>
        <v>#NAME?</v>
      </c>
    </row>
    <row r="34" spans="23:26" x14ac:dyDescent="0.35">
      <c r="W34">
        <f t="shared" si="2"/>
        <v>49</v>
      </c>
      <c r="X34" t="e">
        <f ca="1"/>
        <v>#NAME?</v>
      </c>
      <c r="Y34" t="e">
        <f t="shared" ca="1" si="0"/>
        <v>#DIV/0!</v>
      </c>
      <c r="Z34" t="e">
        <f t="shared" ca="1" si="1"/>
        <v>#NAME?</v>
      </c>
    </row>
    <row r="35" spans="23:26" x14ac:dyDescent="0.35">
      <c r="W35">
        <f t="shared" si="2"/>
        <v>51</v>
      </c>
      <c r="X35" t="e">
        <f ca="1"/>
        <v>#NAME?</v>
      </c>
      <c r="Y35" t="e">
        <f t="shared" ca="1" si="0"/>
        <v>#DIV/0!</v>
      </c>
      <c r="Z35" t="e">
        <f t="shared" ca="1" si="1"/>
        <v>#NAME?</v>
      </c>
    </row>
    <row r="36" spans="23:26" x14ac:dyDescent="0.35">
      <c r="W36">
        <f t="shared" si="2"/>
        <v>53</v>
      </c>
      <c r="X36" t="e">
        <f ca="1"/>
        <v>#NAME?</v>
      </c>
      <c r="Y36" t="e">
        <f t="shared" ca="1" si="0"/>
        <v>#DIV/0!</v>
      </c>
      <c r="Z36" t="e">
        <f t="shared" ca="1" si="1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KW Test</vt:lpstr>
      <vt:lpstr>Normality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2024-06-30T12:49:24Z</dcterms:created>
  <dcterms:modified xsi:type="dcterms:W3CDTF">2024-06-30T13:35:51Z</dcterms:modified>
</cp:coreProperties>
</file>