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C9E57D3D-5704-4F30-94FB-98287EA92679}" xr6:coauthVersionLast="47" xr6:coauthVersionMax="47" xr10:uidLastSave="{00000000-0000-0000-0000-000000000000}"/>
  <bookViews>
    <workbookView xWindow="-110" yWindow="-110" windowWidth="19420" windowHeight="10300" xr2:uid="{5FE134AC-2ABB-43A5-9E90-B43A3DEF5E2E}"/>
  </bookViews>
  <sheets>
    <sheet name="Title" sheetId="5" r:id="rId1"/>
    <sheet name="Log Lin 1.1" sheetId="1" r:id="rId2"/>
    <sheet name="Log Lin 1.2" sheetId="2" r:id="rId3"/>
    <sheet name="Log Lin 1.3" sheetId="3" r:id="rId4"/>
    <sheet name="Log Lin 1.4" sheetId="4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10" i="4" l="1"/>
  <c r="AD13" i="4" s="1"/>
  <c r="AD14" i="4" s="1"/>
  <c r="W84" i="4"/>
  <c r="X84" i="4" s="1"/>
  <c r="W83" i="4"/>
  <c r="AA83" i="4" s="1"/>
  <c r="W67" i="4"/>
  <c r="W66" i="4"/>
  <c r="X66" i="4" s="1"/>
  <c r="W50" i="4"/>
  <c r="W49" i="4"/>
  <c r="W33" i="4"/>
  <c r="X33" i="4" s="1"/>
  <c r="D92" i="4" s="1"/>
  <c r="W32" i="4"/>
  <c r="W15" i="4"/>
  <c r="B94" i="4" s="1"/>
  <c r="W14" i="4"/>
  <c r="AN10" i="4"/>
  <c r="AN13" i="4" s="1"/>
  <c r="AN14" i="4" s="1"/>
  <c r="AI10" i="4"/>
  <c r="AI13" i="4" s="1"/>
  <c r="AI14" i="4" s="1"/>
  <c r="C95" i="4"/>
  <c r="C91" i="4"/>
  <c r="B86" i="4"/>
  <c r="B85" i="4" a="1"/>
  <c r="C85" i="4" s="1"/>
  <c r="Y84" i="4"/>
  <c r="Y83" i="4"/>
  <c r="S80" i="4"/>
  <c r="R80" i="4"/>
  <c r="J80" i="4"/>
  <c r="K80" i="4" s="1"/>
  <c r="I80" i="4"/>
  <c r="X79" i="4"/>
  <c r="W79" i="4"/>
  <c r="T79" i="4"/>
  <c r="Q79" i="4"/>
  <c r="J79" i="4"/>
  <c r="K79" i="4" s="1"/>
  <c r="I79" i="4"/>
  <c r="F79" i="4"/>
  <c r="F80" i="4" s="1"/>
  <c r="D79" i="4"/>
  <c r="C79" i="4"/>
  <c r="B79" i="4"/>
  <c r="T78" i="4"/>
  <c r="T80" i="4" s="1"/>
  <c r="V79" i="4" s="1"/>
  <c r="Q78" i="4"/>
  <c r="K78" i="4"/>
  <c r="J78" i="4"/>
  <c r="I78" i="4"/>
  <c r="F78" i="4"/>
  <c r="D78" i="4"/>
  <c r="S77" i="4"/>
  <c r="R77" i="4"/>
  <c r="J77" i="4"/>
  <c r="K77" i="4" s="1"/>
  <c r="I77" i="4"/>
  <c r="D77" i="4"/>
  <c r="Y67" i="4"/>
  <c r="X67" i="4"/>
  <c r="D91" i="4" s="1"/>
  <c r="Y66" i="4"/>
  <c r="T63" i="4"/>
  <c r="V62" i="4" s="1"/>
  <c r="S63" i="4"/>
  <c r="R63" i="4"/>
  <c r="I63" i="4"/>
  <c r="X62" i="4"/>
  <c r="W62" i="4"/>
  <c r="T62" i="4"/>
  <c r="Q62" i="4"/>
  <c r="I62" i="4"/>
  <c r="C62" i="4"/>
  <c r="B62" i="4"/>
  <c r="T61" i="4"/>
  <c r="Q61" i="4"/>
  <c r="I61" i="4"/>
  <c r="F61" i="4"/>
  <c r="F62" i="4" s="1"/>
  <c r="F63" i="4" s="1"/>
  <c r="D61" i="4"/>
  <c r="S60" i="4"/>
  <c r="R60" i="4"/>
  <c r="I60" i="4"/>
  <c r="D60" i="4"/>
  <c r="D62" i="4" s="1"/>
  <c r="C52" i="4"/>
  <c r="J46" i="4" s="1"/>
  <c r="K46" i="4" s="1"/>
  <c r="B52" i="4"/>
  <c r="D52" i="4" s="1"/>
  <c r="C51" i="4"/>
  <c r="X50" i="4"/>
  <c r="D93" i="4" s="1"/>
  <c r="S46" i="4"/>
  <c r="R46" i="4"/>
  <c r="I46" i="4"/>
  <c r="Y45" i="4"/>
  <c r="Y50" i="4" s="1"/>
  <c r="X45" i="4"/>
  <c r="W45" i="4"/>
  <c r="T45" i="4"/>
  <c r="Q45" i="4"/>
  <c r="I45" i="4"/>
  <c r="C45" i="4"/>
  <c r="B45" i="4"/>
  <c r="T44" i="4"/>
  <c r="T46" i="4" s="1"/>
  <c r="V45" i="4" s="1"/>
  <c r="Q44" i="4"/>
  <c r="J44" i="4"/>
  <c r="K44" i="4" s="1"/>
  <c r="I44" i="4"/>
  <c r="F44" i="4"/>
  <c r="F45" i="4" s="1"/>
  <c r="F46" i="4" s="1"/>
  <c r="D44" i="4"/>
  <c r="S43" i="4"/>
  <c r="R43" i="4"/>
  <c r="I43" i="4"/>
  <c r="D43" i="4"/>
  <c r="B51" i="4" s="1"/>
  <c r="C36" i="4"/>
  <c r="C35" i="4"/>
  <c r="C34" i="4"/>
  <c r="B34" i="4"/>
  <c r="D34" i="4" s="1"/>
  <c r="Y33" i="4"/>
  <c r="S29" i="4"/>
  <c r="R29" i="4"/>
  <c r="J29" i="4"/>
  <c r="K29" i="4" s="1"/>
  <c r="I29" i="4"/>
  <c r="Y28" i="4"/>
  <c r="X28" i="4"/>
  <c r="W28" i="4"/>
  <c r="T28" i="4"/>
  <c r="Q28" i="4"/>
  <c r="J28" i="4"/>
  <c r="K28" i="4" s="1"/>
  <c r="I28" i="4"/>
  <c r="C28" i="4"/>
  <c r="B28" i="4"/>
  <c r="B35" i="4" s="1"/>
  <c r="B36" i="4" s="1"/>
  <c r="T27" i="4"/>
  <c r="T29" i="4" s="1"/>
  <c r="V28" i="4" s="1"/>
  <c r="R27" i="4" a="1"/>
  <c r="Q27" i="4"/>
  <c r="I27" i="4"/>
  <c r="F27" i="4"/>
  <c r="F28" i="4" s="1"/>
  <c r="F29" i="4" s="1"/>
  <c r="D27" i="4"/>
  <c r="S26" i="4"/>
  <c r="R26" i="4"/>
  <c r="J26" i="4"/>
  <c r="K26" i="4" s="1"/>
  <c r="I26" i="4"/>
  <c r="D26" i="4"/>
  <c r="D28" i="4" s="1"/>
  <c r="S11" i="4"/>
  <c r="R11" i="4"/>
  <c r="I11" i="4"/>
  <c r="F11" i="4"/>
  <c r="X10" i="4"/>
  <c r="W10" i="4"/>
  <c r="Y10" i="4" s="1"/>
  <c r="Y14" i="4" s="1"/>
  <c r="T10" i="4"/>
  <c r="Q10" i="4"/>
  <c r="I10" i="4"/>
  <c r="C10" i="4"/>
  <c r="B10" i="4"/>
  <c r="T9" i="4"/>
  <c r="Q9" i="4"/>
  <c r="I9" i="4"/>
  <c r="F9" i="4"/>
  <c r="F10" i="4" s="1"/>
  <c r="D9" i="4"/>
  <c r="S8" i="4"/>
  <c r="R8" i="4"/>
  <c r="I8" i="4"/>
  <c r="D8" i="4"/>
  <c r="D10" i="4" s="1"/>
  <c r="B16" i="4" s="1"/>
  <c r="E7" i="3"/>
  <c r="E6" i="3"/>
  <c r="E5" i="3"/>
  <c r="E4" i="3"/>
  <c r="J17" i="2"/>
  <c r="K17" i="2" s="1"/>
  <c r="I17" i="2"/>
  <c r="I16" i="2"/>
  <c r="F16" i="2"/>
  <c r="F17" i="2" s="1"/>
  <c r="C16" i="2"/>
  <c r="I15" i="2"/>
  <c r="F15" i="2"/>
  <c r="J14" i="2"/>
  <c r="K14" i="2" s="1"/>
  <c r="I14" i="2"/>
  <c r="J9" i="2"/>
  <c r="K9" i="2" s="1"/>
  <c r="I9" i="2"/>
  <c r="J8" i="2"/>
  <c r="K8" i="2" s="1"/>
  <c r="I8" i="2"/>
  <c r="C8" i="2"/>
  <c r="C14" i="2" s="1"/>
  <c r="J16" i="2" s="1"/>
  <c r="K16" i="2" s="1"/>
  <c r="B8" i="2"/>
  <c r="B14" i="2" s="1"/>
  <c r="D14" i="2" s="1"/>
  <c r="J7" i="2"/>
  <c r="K7" i="2" s="1"/>
  <c r="N6" i="2" s="1"/>
  <c r="P6" i="2" s="1"/>
  <c r="I7" i="2"/>
  <c r="F7" i="2"/>
  <c r="F8" i="2" s="1"/>
  <c r="F9" i="2" s="1"/>
  <c r="D7" i="2"/>
  <c r="J6" i="2"/>
  <c r="K6" i="2" s="1"/>
  <c r="I6" i="2"/>
  <c r="D6" i="2"/>
  <c r="D8" i="2" s="1"/>
  <c r="C15" i="2" s="1"/>
  <c r="H33" i="1"/>
  <c r="S31" i="1"/>
  <c r="S29" i="1"/>
  <c r="I23" i="1"/>
  <c r="I22" i="1"/>
  <c r="I21" i="1"/>
  <c r="F21" i="1"/>
  <c r="F22" i="1" s="1"/>
  <c r="F23" i="1" s="1"/>
  <c r="I20" i="1"/>
  <c r="T14" i="1"/>
  <c r="S14" i="1"/>
  <c r="U14" i="1" s="1"/>
  <c r="C14" i="1"/>
  <c r="B14" i="1"/>
  <c r="B15" i="1" s="1"/>
  <c r="T13" i="1"/>
  <c r="U15" i="1" s="1"/>
  <c r="S13" i="1"/>
  <c r="S15" i="1" s="1"/>
  <c r="C13" i="1"/>
  <c r="C15" i="1" s="1"/>
  <c r="B13" i="1"/>
  <c r="D13" i="1" s="1"/>
  <c r="J9" i="1"/>
  <c r="K9" i="1" s="1"/>
  <c r="I9" i="1"/>
  <c r="U8" i="1"/>
  <c r="T8" i="1"/>
  <c r="S8" i="1"/>
  <c r="J8" i="1"/>
  <c r="I8" i="1"/>
  <c r="F8" i="1"/>
  <c r="F9" i="1" s="1"/>
  <c r="C8" i="1"/>
  <c r="B8" i="1"/>
  <c r="U7" i="1"/>
  <c r="J7" i="1"/>
  <c r="H31" i="1" s="1"/>
  <c r="I7" i="1"/>
  <c r="F7" i="1"/>
  <c r="D7" i="1"/>
  <c r="D8" i="1" s="1"/>
  <c r="U6" i="1"/>
  <c r="J6" i="1"/>
  <c r="H30" i="1" s="1"/>
  <c r="I6" i="1"/>
  <c r="D6" i="1"/>
  <c r="X32" i="4" l="1"/>
  <c r="AA32" i="4"/>
  <c r="Z33" i="4"/>
  <c r="E92" i="4" s="1"/>
  <c r="X83" i="4"/>
  <c r="Z83" i="4"/>
  <c r="Z66" i="4"/>
  <c r="Z67" i="4"/>
  <c r="E91" i="4" s="1"/>
  <c r="AA67" i="4"/>
  <c r="B91" i="4"/>
  <c r="B93" i="4"/>
  <c r="Z14" i="4"/>
  <c r="Z50" i="4"/>
  <c r="E93" i="4" s="1"/>
  <c r="N7" i="2"/>
  <c r="P7" i="2" s="1"/>
  <c r="N8" i="2"/>
  <c r="P8" i="2" s="1"/>
  <c r="J8" i="4"/>
  <c r="K8" i="4" s="1"/>
  <c r="D16" i="4"/>
  <c r="M77" i="4"/>
  <c r="O77" i="4" s="1"/>
  <c r="M80" i="4"/>
  <c r="O80" i="4" s="1"/>
  <c r="B20" i="1"/>
  <c r="C20" i="1"/>
  <c r="R28" i="4"/>
  <c r="S27" i="4"/>
  <c r="S28" i="4"/>
  <c r="C53" i="4"/>
  <c r="J45" i="4"/>
  <c r="K45" i="4" s="1"/>
  <c r="K8" i="1"/>
  <c r="H32" i="1"/>
  <c r="R27" i="4"/>
  <c r="D51" i="4"/>
  <c r="D53" i="4" s="1"/>
  <c r="J30" i="1"/>
  <c r="D14" i="1"/>
  <c r="D15" i="1" s="1"/>
  <c r="C69" i="4"/>
  <c r="J63" i="4" s="1"/>
  <c r="K63" i="4" s="1"/>
  <c r="B69" i="4"/>
  <c r="C68" i="4"/>
  <c r="J31" i="1"/>
  <c r="T11" i="4"/>
  <c r="X15" i="4"/>
  <c r="D94" i="4" s="1"/>
  <c r="H34" i="1"/>
  <c r="I33" i="1" s="1"/>
  <c r="R44" i="4" a="1"/>
  <c r="B53" i="4"/>
  <c r="J43" i="4"/>
  <c r="K43" i="4" s="1"/>
  <c r="C93" i="4"/>
  <c r="B21" i="1"/>
  <c r="AA49" i="4"/>
  <c r="Z84" i="4"/>
  <c r="C16" i="4"/>
  <c r="X49" i="4"/>
  <c r="Y15" i="4"/>
  <c r="Z15" i="4" s="1"/>
  <c r="E94" i="4" s="1"/>
  <c r="C94" i="4"/>
  <c r="X14" i="4"/>
  <c r="J27" i="4"/>
  <c r="K27" i="4" s="1"/>
  <c r="M26" i="4" s="1"/>
  <c r="D35" i="4"/>
  <c r="D36" i="4" s="1"/>
  <c r="J33" i="1"/>
  <c r="B68" i="4"/>
  <c r="AA84" i="4"/>
  <c r="B95" i="4"/>
  <c r="D45" i="4"/>
  <c r="C21" i="1"/>
  <c r="J23" i="1" s="1"/>
  <c r="B15" i="2"/>
  <c r="C17" i="4"/>
  <c r="J11" i="4" s="1"/>
  <c r="K11" i="4" s="1"/>
  <c r="B17" i="4"/>
  <c r="N9" i="2"/>
  <c r="P9" i="2" s="1"/>
  <c r="B92" i="4"/>
  <c r="AA33" i="4"/>
  <c r="Y49" i="4"/>
  <c r="Z49" i="4" s="1"/>
  <c r="T15" i="1"/>
  <c r="Y32" i="4"/>
  <c r="Z32" i="4" s="1"/>
  <c r="AA50" i="4"/>
  <c r="C92" i="4"/>
  <c r="K6" i="1"/>
  <c r="U13" i="1"/>
  <c r="C86" i="4"/>
  <c r="K7" i="1"/>
  <c r="B85" i="4"/>
  <c r="AA66" i="4"/>
  <c r="O26" i="4" l="1"/>
  <c r="M29" i="4"/>
  <c r="O29" i="4" s="1"/>
  <c r="M27" i="4"/>
  <c r="O27" i="4" s="1"/>
  <c r="M43" i="4"/>
  <c r="O43" i="4" s="1"/>
  <c r="M44" i="4"/>
  <c r="O44" i="4" s="1"/>
  <c r="M8" i="4"/>
  <c r="O8" i="4" s="1"/>
  <c r="K33" i="1"/>
  <c r="K23" i="1"/>
  <c r="I31" i="1"/>
  <c r="B22" i="1"/>
  <c r="D20" i="1"/>
  <c r="J20" i="1"/>
  <c r="R78" i="4" a="1"/>
  <c r="B87" i="4"/>
  <c r="D85" i="4"/>
  <c r="D87" i="4" s="1"/>
  <c r="J9" i="4"/>
  <c r="K9" i="4" s="1"/>
  <c r="M10" i="4" s="1"/>
  <c r="O10" i="4" s="1"/>
  <c r="D17" i="4"/>
  <c r="D18" i="4" s="1"/>
  <c r="K10" i="1"/>
  <c r="N6" i="1" s="1"/>
  <c r="P6" i="1" s="1"/>
  <c r="N9" i="1"/>
  <c r="P9" i="1" s="1"/>
  <c r="S44" i="4"/>
  <c r="R44" i="4"/>
  <c r="S45" i="4"/>
  <c r="R45" i="4"/>
  <c r="D15" i="2"/>
  <c r="D16" i="2" s="1"/>
  <c r="J15" i="2"/>
  <c r="K15" i="2" s="1"/>
  <c r="N14" i="2" s="1"/>
  <c r="B16" i="2"/>
  <c r="B18" i="4"/>
  <c r="I30" i="1"/>
  <c r="M28" i="4"/>
  <c r="O28" i="4" s="1"/>
  <c r="V10" i="4"/>
  <c r="R9" i="4" a="1"/>
  <c r="J32" i="1"/>
  <c r="I32" i="1"/>
  <c r="C18" i="4"/>
  <c r="J10" i="4"/>
  <c r="K10" i="4" s="1"/>
  <c r="M9" i="4" s="1"/>
  <c r="O9" i="4" s="1"/>
  <c r="J22" i="1"/>
  <c r="C22" i="1"/>
  <c r="B70" i="4"/>
  <c r="D68" i="4"/>
  <c r="J60" i="4"/>
  <c r="K60" i="4" s="1"/>
  <c r="R61" i="4" a="1"/>
  <c r="J62" i="4"/>
  <c r="K62" i="4" s="1"/>
  <c r="C70" i="4"/>
  <c r="D21" i="1"/>
  <c r="J21" i="1"/>
  <c r="C87" i="4"/>
  <c r="D86" i="4"/>
  <c r="M79" i="4"/>
  <c r="O79" i="4" s="1"/>
  <c r="D69" i="4"/>
  <c r="J61" i="4"/>
  <c r="K61" i="4" s="1"/>
  <c r="M78" i="4"/>
  <c r="O78" i="4" s="1"/>
  <c r="K32" i="1" l="1"/>
  <c r="K22" i="1"/>
  <c r="M11" i="4"/>
  <c r="O11" i="4" s="1"/>
  <c r="K31" i="1"/>
  <c r="K21" i="1"/>
  <c r="K20" i="1"/>
  <c r="K30" i="1"/>
  <c r="D22" i="1"/>
  <c r="M45" i="4"/>
  <c r="O45" i="4" s="1"/>
  <c r="M46" i="4"/>
  <c r="O46" i="4" s="1"/>
  <c r="P14" i="2"/>
  <c r="N17" i="2"/>
  <c r="P17" i="2" s="1"/>
  <c r="N15" i="2"/>
  <c r="P15" i="2" s="1"/>
  <c r="N16" i="2"/>
  <c r="P16" i="2" s="1"/>
  <c r="S9" i="4"/>
  <c r="R9" i="4"/>
  <c r="S10" i="4"/>
  <c r="R10" i="4"/>
  <c r="M60" i="4"/>
  <c r="O60" i="4" s="1"/>
  <c r="M62" i="4"/>
  <c r="O62" i="4" s="1"/>
  <c r="AA15" i="4"/>
  <c r="AA14" i="4"/>
  <c r="S79" i="4"/>
  <c r="R79" i="4"/>
  <c r="R78" i="4"/>
  <c r="S78" i="4"/>
  <c r="D70" i="4"/>
  <c r="N8" i="1"/>
  <c r="P8" i="1" s="1"/>
  <c r="M33" i="1"/>
  <c r="P33" i="1" s="1"/>
  <c r="L33" i="1"/>
  <c r="N33" i="1"/>
  <c r="O33" i="1" s="1"/>
  <c r="S62" i="4"/>
  <c r="R62" i="4"/>
  <c r="S61" i="4"/>
  <c r="R61" i="4"/>
  <c r="N7" i="1"/>
  <c r="P7" i="1" s="1"/>
  <c r="K24" i="1" l="1"/>
  <c r="N20" i="1" s="1"/>
  <c r="P20" i="1" s="1"/>
  <c r="N23" i="1"/>
  <c r="P23" i="1" s="1"/>
  <c r="N22" i="1"/>
  <c r="P22" i="1" s="1"/>
  <c r="N21" i="1"/>
  <c r="P21" i="1" s="1"/>
  <c r="M63" i="4"/>
  <c r="O63" i="4" s="1"/>
  <c r="M61" i="4"/>
  <c r="O61" i="4" s="1"/>
  <c r="M30" i="1"/>
  <c r="P30" i="1" s="1"/>
  <c r="L30" i="1"/>
  <c r="N30" i="1"/>
  <c r="O30" i="1" s="1"/>
  <c r="M31" i="1"/>
  <c r="P31" i="1" s="1"/>
  <c r="L31" i="1"/>
  <c r="N31" i="1"/>
  <c r="O31" i="1" s="1"/>
  <c r="M32" i="1"/>
  <c r="P32" i="1" s="1"/>
  <c r="L32" i="1"/>
  <c r="N32" i="1"/>
  <c r="O32" i="1" s="1"/>
  <c r="P34" i="1" l="1"/>
  <c r="S28" i="1" s="1"/>
  <c r="S32" i="1" s="1"/>
  <c r="S33" i="1" s="1"/>
</calcChain>
</file>

<file path=xl/sharedStrings.xml><?xml version="1.0" encoding="utf-8"?>
<sst xmlns="http://schemas.openxmlformats.org/spreadsheetml/2006/main" count="436" uniqueCount="105">
  <si>
    <t>Log-linear regression (2-way)</t>
  </si>
  <si>
    <t>Observed Data (Saturated Model)</t>
  </si>
  <si>
    <t>Observations and Marginals</t>
  </si>
  <si>
    <t>Therapy 1</t>
  </si>
  <si>
    <t>Therapy 2</t>
  </si>
  <si>
    <t>Total</t>
  </si>
  <si>
    <t>i</t>
  </si>
  <si>
    <t>t1</t>
  </si>
  <si>
    <t>t2</t>
  </si>
  <si>
    <t>t1 * t2</t>
  </si>
  <si>
    <t>y = freq</t>
  </si>
  <si>
    <t>ln y</t>
  </si>
  <si>
    <t>Marginal</t>
  </si>
  <si>
    <t>Cured</t>
  </si>
  <si>
    <t>b0</t>
  </si>
  <si>
    <t>Not Cured</t>
  </si>
  <si>
    <t>b1</t>
  </si>
  <si>
    <t>b2</t>
  </si>
  <si>
    <t>b3</t>
  </si>
  <si>
    <t>Log of Observed Data</t>
  </si>
  <si>
    <t>Ln of Observations and Marginals</t>
  </si>
  <si>
    <t>Expected Data (Independence Model)</t>
  </si>
  <si>
    <t>Chi-square and residuals</t>
  </si>
  <si>
    <t>Observation</t>
  </si>
  <si>
    <t>Expectation</t>
  </si>
  <si>
    <t>Residuals</t>
  </si>
  <si>
    <t>χ2</t>
  </si>
  <si>
    <t>Outcome</t>
  </si>
  <si>
    <t>Therapy</t>
  </si>
  <si>
    <t>Count (y)</t>
  </si>
  <si>
    <t>%</t>
  </si>
  <si>
    <r>
      <t>Count (</t>
    </r>
    <r>
      <rPr>
        <sz val="11"/>
        <color theme="1"/>
        <rFont val="Calibri"/>
        <family val="2"/>
      </rPr>
      <t>ŷ)</t>
    </r>
  </si>
  <si>
    <r>
      <t xml:space="preserve">ln </t>
    </r>
    <r>
      <rPr>
        <sz val="11"/>
        <color theme="1"/>
        <rFont val="Calibri"/>
        <family val="2"/>
      </rPr>
      <t>ŷ</t>
    </r>
  </si>
  <si>
    <t>Std Res</t>
  </si>
  <si>
    <t>df</t>
  </si>
  <si>
    <t>α</t>
  </si>
  <si>
    <t>χ2-crit</t>
  </si>
  <si>
    <t>p-value</t>
  </si>
  <si>
    <t>sig</t>
  </si>
  <si>
    <t>Log-linear regression (alternative coding)</t>
  </si>
  <si>
    <t>Log-linear regression (using Excel data analysis tool)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</si>
  <si>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</si>
  <si>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</si>
  <si>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</si>
  <si>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</si>
  <si>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</si>
  <si>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</si>
  <si>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</si>
  <si>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</si>
  <si>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SS</t>
  </si>
  <si>
    <t>MS</t>
  </si>
  <si>
    <t>F</t>
  </si>
  <si>
    <t>Significance F</t>
  </si>
  <si>
    <t>Regression</t>
  </si>
  <si>
    <t>Residual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</si>
  <si>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</si>
  <si>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</si>
  <si>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</si>
  <si>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</si>
  <si>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</si>
  <si>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</si>
  <si>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</si>
  <si>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Intercept</t>
  </si>
  <si>
    <t>Log-linear regression (all models)</t>
  </si>
  <si>
    <t>Independence Model (A, B)</t>
  </si>
  <si>
    <t>Conditional Equiprob Model - Rows (A)</t>
  </si>
  <si>
    <t>Conditional Equiprob Model - Columns (B)</t>
  </si>
  <si>
    <t>Equiprobability Model</t>
  </si>
  <si>
    <t>Observed Data</t>
  </si>
  <si>
    <t>t1 = 1 if Low, -1 if High</t>
  </si>
  <si>
    <t>t2 = 1 if Guilty, -1 if Innocent</t>
  </si>
  <si>
    <t>Expected Values</t>
  </si>
  <si>
    <t>Chi-Square Test</t>
  </si>
  <si>
    <r>
      <rPr>
        <sz val="11"/>
        <color theme="1"/>
        <rFont val="Calibri"/>
        <family val="2"/>
      </rPr>
      <t>ŷ</t>
    </r>
    <r>
      <rPr>
        <sz val="11"/>
        <color theme="1"/>
        <rFont val="Aptos Narrow"/>
        <family val="2"/>
        <scheme val="minor"/>
      </rPr>
      <t xml:space="preserve"> = exp</t>
    </r>
  </si>
  <si>
    <t>SUMMARY</t>
  </si>
  <si>
    <t>Alpha</t>
  </si>
  <si>
    <t>Count</t>
  </si>
  <si>
    <t>Rows</t>
  </si>
  <si>
    <t>Cols</t>
  </si>
  <si>
    <t>CHI-SQUARE</t>
  </si>
  <si>
    <t>Expected Data</t>
  </si>
  <si>
    <t xml:space="preserve"> </t>
  </si>
  <si>
    <t>chi-sq</t>
  </si>
  <si>
    <t>x-crit</t>
  </si>
  <si>
    <t>reject</t>
  </si>
  <si>
    <t>Cramer V</t>
  </si>
  <si>
    <t>Pearson's</t>
  </si>
  <si>
    <t>Max likelihood</t>
  </si>
  <si>
    <t>Low Fault</t>
  </si>
  <si>
    <t>High Fault</t>
  </si>
  <si>
    <t>Conditional Equiprobability Model - Rows (A)</t>
  </si>
  <si>
    <t>Conditional Equiprobability Model - Columns (B)</t>
  </si>
  <si>
    <t>Saturated Model (AB)</t>
  </si>
  <si>
    <t>y -obs</t>
  </si>
  <si>
    <t>Summary</t>
  </si>
  <si>
    <t>Equiprob</t>
  </si>
  <si>
    <t>Cond Eq A</t>
  </si>
  <si>
    <t>Cond Eq B</t>
  </si>
  <si>
    <t>Independ</t>
  </si>
  <si>
    <t>Saturated</t>
  </si>
  <si>
    <t>No</t>
  </si>
  <si>
    <t>Real Statistics Using Excel</t>
  </si>
  <si>
    <t>Updated</t>
  </si>
  <si>
    <t>Copyright © 2013 - 2024 Charles Zaiontz</t>
  </si>
  <si>
    <t>Log-Linear Regresssion Models (Two-way Contingency Tables)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</si>
</sst>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i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0" fontId="0" fillId="0" borderId="13" xfId="0" applyNumberFormat="1" applyBorder="1"/>
    <xf numFmtId="0" fontId="2" fillId="0" borderId="0" xfId="0" applyFont="1"/>
    <xf numFmtId="0" fontId="0" fillId="0" borderId="14" xfId="0" applyBorder="1"/>
    <xf numFmtId="10" fontId="0" fillId="0" borderId="0" xfId="0" applyNumberFormat="1"/>
    <xf numFmtId="0" fontId="0" fillId="0" borderId="15" xfId="0" applyBorder="1"/>
    <xf numFmtId="10" fontId="0" fillId="0" borderId="8" xfId="0" applyNumberFormat="1" applyBorder="1"/>
    <xf numFmtId="0" fontId="0" fillId="0" borderId="9" xfId="0" applyBorder="1" applyAlignment="1">
      <alignment horizontal="right"/>
    </xf>
    <xf numFmtId="0" fontId="0" fillId="0" borderId="13" xfId="0" applyBorder="1"/>
    <xf numFmtId="9" fontId="0" fillId="0" borderId="0" xfId="0" applyNumberFormat="1"/>
    <xf numFmtId="0" fontId="3" fillId="0" borderId="16" xfId="0" applyFont="1" applyBorder="1" applyAlignment="1">
      <alignment horizontal="centerContinuous"/>
    </xf>
    <xf numFmtId="0" fontId="0" fillId="0" borderId="17" xfId="0" applyBorder="1"/>
    <xf numFmtId="0" fontId="3" fillId="0" borderId="1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3" fillId="0" borderId="22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 applyAlignment="1">
      <alignment horizontal="center"/>
    </xf>
    <xf numFmtId="1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AppData\Roaming\Microsoft\AddIns\XRealStats.xlam" TargetMode="External"/><Relationship Id="rId1" Type="http://schemas.openxmlformats.org/officeDocument/2006/relationships/externalLinkPath" Target="/Users/user/AppData/Roaming/Microsoft/AddIns/XRealStats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fig"/>
      <sheetName val="Wilcoxon Table"/>
      <sheetName val="Mann Table"/>
      <sheetName val="Runs Table"/>
      <sheetName val="KS Table"/>
      <sheetName val="KS2 Table"/>
      <sheetName val="Lil Table"/>
      <sheetName val="AD Table"/>
      <sheetName val="AD2 Table"/>
      <sheetName val="SW Table"/>
      <sheetName val="Stud. Q Table"/>
      <sheetName val="Stud. Q Table 2"/>
      <sheetName val="Sp Rho Table"/>
      <sheetName val="Ken Tau Table"/>
      <sheetName val="Durbin Table"/>
      <sheetName val="Dunnett Table"/>
      <sheetName val="Dunnett 1"/>
      <sheetName val="Prime"/>
      <sheetName val="MSSD"/>
      <sheetName val="Dict"/>
      <sheetName val="ADict"/>
      <sheetName val="XRealStats"/>
    </sheetNames>
    <definedNames>
      <definedName name="CHI_MAX2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9DD21-D035-493C-82F5-BC1D17E52D6B}">
  <sheetPr codeName="Sheet1"/>
  <dimension ref="A1:B6"/>
  <sheetViews>
    <sheetView tabSelected="1" workbookViewId="0"/>
  </sheetViews>
  <sheetFormatPr defaultRowHeight="14.5" x14ac:dyDescent="0.35"/>
  <cols>
    <col min="2" max="2" width="10.453125" customWidth="1"/>
  </cols>
  <sheetData>
    <row r="1" spans="1:2" x14ac:dyDescent="0.35">
      <c r="A1" t="s">
        <v>101</v>
      </c>
    </row>
    <row r="2" spans="1:2" x14ac:dyDescent="0.35">
      <c r="A2" t="s">
        <v>104</v>
      </c>
    </row>
    <row r="4" spans="1:2" x14ac:dyDescent="0.35">
      <c r="A4" t="s">
        <v>102</v>
      </c>
      <c r="B4" s="47">
        <v>45363</v>
      </c>
    </row>
    <row r="6" spans="1:2" x14ac:dyDescent="0.35">
      <c r="A6" t="s">
        <v>103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12C7FA-CC78-4CEE-B79B-3E99A9F5B11F}">
  <sheetPr codeName="Sheet132"/>
  <dimension ref="A1:U36"/>
  <sheetViews>
    <sheetView workbookViewId="0"/>
  </sheetViews>
  <sheetFormatPr defaultRowHeight="14.5" x14ac:dyDescent="0.35"/>
  <cols>
    <col min="1" max="1" width="11.1796875" customWidth="1"/>
    <col min="5" max="5" width="6.54296875" customWidth="1"/>
    <col min="6" max="6" width="10.453125" customWidth="1"/>
    <col min="12" max="12" width="8.81640625" customWidth="1"/>
    <col min="18" max="18" width="10" customWidth="1"/>
  </cols>
  <sheetData>
    <row r="1" spans="1:21" x14ac:dyDescent="0.35">
      <c r="A1" s="1" t="s">
        <v>0</v>
      </c>
    </row>
    <row r="3" spans="1:21" x14ac:dyDescent="0.35">
      <c r="A3" t="s">
        <v>1</v>
      </c>
      <c r="R3" t="s">
        <v>2</v>
      </c>
    </row>
    <row r="5" spans="1:21" x14ac:dyDescent="0.35">
      <c r="B5" s="2" t="s">
        <v>3</v>
      </c>
      <c r="C5" s="2" t="s">
        <v>4</v>
      </c>
      <c r="D5" s="2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S5" s="2" t="s">
        <v>3</v>
      </c>
      <c r="T5" s="2" t="s">
        <v>4</v>
      </c>
      <c r="U5" s="2" t="s">
        <v>12</v>
      </c>
    </row>
    <row r="6" spans="1:21" x14ac:dyDescent="0.35">
      <c r="A6" t="s">
        <v>13</v>
      </c>
      <c r="B6" s="4">
        <v>31</v>
      </c>
      <c r="C6" s="5">
        <v>57</v>
      </c>
      <c r="D6">
        <f>SUM(B6:C6)</f>
        <v>88</v>
      </c>
      <c r="F6" s="6">
        <v>1</v>
      </c>
      <c r="G6" s="6">
        <v>1</v>
      </c>
      <c r="H6" s="6">
        <v>1</v>
      </c>
      <c r="I6" s="6">
        <f>G6*H6</f>
        <v>1</v>
      </c>
      <c r="J6">
        <f>B6</f>
        <v>31</v>
      </c>
      <c r="K6">
        <f>LN(J6)</f>
        <v>3.4339872044851463</v>
      </c>
      <c r="M6" s="2" t="s">
        <v>14</v>
      </c>
      <c r="N6" s="7">
        <f>K10/4</f>
        <v>3.4516898444605983</v>
      </c>
      <c r="P6" s="7">
        <f>EXP(N6)</f>
        <v>31.553668073397692</v>
      </c>
      <c r="R6" t="s">
        <v>13</v>
      </c>
      <c r="S6" s="4">
        <v>31</v>
      </c>
      <c r="T6" s="5">
        <v>57</v>
      </c>
      <c r="U6">
        <f>GEOMEAN(S6:T6)</f>
        <v>42.035699113967404</v>
      </c>
    </row>
    <row r="7" spans="1:21" x14ac:dyDescent="0.35">
      <c r="A7" t="s">
        <v>15</v>
      </c>
      <c r="B7" s="8">
        <v>11</v>
      </c>
      <c r="C7" s="9">
        <v>51</v>
      </c>
      <c r="D7">
        <f>SUM(B7:C7)</f>
        <v>62</v>
      </c>
      <c r="F7" s="6">
        <f>F6+1</f>
        <v>2</v>
      </c>
      <c r="G7" s="6">
        <v>1</v>
      </c>
      <c r="H7" s="6">
        <v>-1</v>
      </c>
      <c r="I7" s="6">
        <f>G7*H7</f>
        <v>-1</v>
      </c>
      <c r="J7">
        <f>B7</f>
        <v>11</v>
      </c>
      <c r="K7">
        <f>LN(J7)</f>
        <v>2.3978952727983707</v>
      </c>
      <c r="M7" s="2" t="s">
        <v>16</v>
      </c>
      <c r="N7" s="10">
        <f>(K6+K7)/2-N6</f>
        <v>-0.53574860581883987</v>
      </c>
      <c r="P7" s="10">
        <f>EXP(N7)</f>
        <v>0.58523101877299288</v>
      </c>
      <c r="R7" t="s">
        <v>15</v>
      </c>
      <c r="S7" s="8">
        <v>11</v>
      </c>
      <c r="T7" s="9">
        <v>51</v>
      </c>
      <c r="U7">
        <f>GEOMEAN(S7:T7)</f>
        <v>23.685438564654024</v>
      </c>
    </row>
    <row r="8" spans="1:21" x14ac:dyDescent="0.35">
      <c r="A8" t="s">
        <v>5</v>
      </c>
      <c r="B8">
        <f>SUM(B6:B7)</f>
        <v>42</v>
      </c>
      <c r="C8">
        <f>SUM(C6:C7)</f>
        <v>108</v>
      </c>
      <c r="D8">
        <f>SUM(D6:D7)</f>
        <v>150</v>
      </c>
      <c r="F8" s="6">
        <f>F7+1</f>
        <v>3</v>
      </c>
      <c r="G8" s="6">
        <v>-1</v>
      </c>
      <c r="H8" s="6">
        <v>1</v>
      </c>
      <c r="I8" s="6">
        <f>G8*H8</f>
        <v>-1</v>
      </c>
      <c r="J8">
        <f>C6</f>
        <v>57</v>
      </c>
      <c r="K8">
        <f>LN(J8)</f>
        <v>4.0430512678345503</v>
      </c>
      <c r="M8" s="2" t="s">
        <v>17</v>
      </c>
      <c r="N8" s="10">
        <f>(K6+K8)/2-N6</f>
        <v>0.28682939169924992</v>
      </c>
      <c r="P8" s="10">
        <f>EXP(N8)</f>
        <v>1.3321969102351976</v>
      </c>
      <c r="R8" t="s">
        <v>12</v>
      </c>
      <c r="S8">
        <f>GEOMEAN(S6:S7)</f>
        <v>18.466185312619388</v>
      </c>
      <c r="T8">
        <f>GEOMEAN(T6:T7)</f>
        <v>53.916602266834289</v>
      </c>
      <c r="U8">
        <f>GEOMEAN(S6:T7)</f>
        <v>31.553668073397688</v>
      </c>
    </row>
    <row r="9" spans="1:21" x14ac:dyDescent="0.35">
      <c r="F9" s="11">
        <f>F8+1</f>
        <v>4</v>
      </c>
      <c r="G9" s="11">
        <v>-1</v>
      </c>
      <c r="H9" s="11">
        <v>-1</v>
      </c>
      <c r="I9" s="11">
        <f>G9*H9</f>
        <v>1</v>
      </c>
      <c r="J9" s="12">
        <f>C7</f>
        <v>51</v>
      </c>
      <c r="K9" s="12">
        <f>LN(J9)</f>
        <v>3.9318256327243257</v>
      </c>
      <c r="M9" s="2" t="s">
        <v>18</v>
      </c>
      <c r="N9" s="13">
        <f>(K6+K9)/2-N6</f>
        <v>0.23121657414413743</v>
      </c>
      <c r="P9" s="13">
        <f>EXP(N9)</f>
        <v>1.2601321219343276</v>
      </c>
    </row>
    <row r="10" spans="1:21" x14ac:dyDescent="0.35">
      <c r="A10" t="s">
        <v>19</v>
      </c>
      <c r="F10" s="6"/>
      <c r="G10" s="6"/>
      <c r="H10" s="6"/>
      <c r="I10" s="6"/>
      <c r="K10">
        <f>SUM(K6:K9)</f>
        <v>13.806759377842393</v>
      </c>
      <c r="M10" s="2"/>
      <c r="R10" t="s">
        <v>20</v>
      </c>
    </row>
    <row r="12" spans="1:21" x14ac:dyDescent="0.35">
      <c r="B12" s="2" t="s">
        <v>3</v>
      </c>
      <c r="C12" s="2" t="s">
        <v>4</v>
      </c>
      <c r="D12" s="2" t="s">
        <v>5</v>
      </c>
      <c r="F12" s="6"/>
      <c r="G12" s="6"/>
      <c r="H12" s="6"/>
      <c r="I12" s="6"/>
      <c r="M12" s="2"/>
      <c r="S12" s="2" t="s">
        <v>3</v>
      </c>
      <c r="T12" s="2" t="s">
        <v>4</v>
      </c>
      <c r="U12" s="2" t="s">
        <v>12</v>
      </c>
    </row>
    <row r="13" spans="1:21" x14ac:dyDescent="0.35">
      <c r="A13" t="s">
        <v>13</v>
      </c>
      <c r="B13" s="4">
        <f>LN(B6)</f>
        <v>3.4339872044851463</v>
      </c>
      <c r="C13" s="5">
        <f>LN(C6)</f>
        <v>4.0430512678345503</v>
      </c>
      <c r="D13">
        <f>SUM(B13:C13)</f>
        <v>7.4770384723196965</v>
      </c>
      <c r="F13" s="6"/>
      <c r="G13" s="6"/>
      <c r="H13" s="6"/>
      <c r="I13" s="6"/>
      <c r="M13" s="2"/>
      <c r="R13" t="s">
        <v>13</v>
      </c>
      <c r="S13" s="4">
        <f>LN(S6)</f>
        <v>3.4339872044851463</v>
      </c>
      <c r="T13" s="5">
        <f>LN(T6)</f>
        <v>4.0430512678345503</v>
      </c>
      <c r="U13">
        <f>AVERAGE(S13:T13)</f>
        <v>3.7385192361598483</v>
      </c>
    </row>
    <row r="14" spans="1:21" x14ac:dyDescent="0.35">
      <c r="A14" t="s">
        <v>15</v>
      </c>
      <c r="B14" s="8">
        <f>LN(B7)</f>
        <v>2.3978952727983707</v>
      </c>
      <c r="C14" s="9">
        <f>LN(C7)</f>
        <v>3.9318256327243257</v>
      </c>
      <c r="D14">
        <f>SUM(B14:C14)</f>
        <v>6.3297209055226968</v>
      </c>
      <c r="F14" s="6"/>
      <c r="G14" s="6"/>
      <c r="H14" s="6"/>
      <c r="I14" s="6"/>
      <c r="M14" s="2"/>
      <c r="R14" t="s">
        <v>15</v>
      </c>
      <c r="S14" s="8">
        <f>LN(S7)</f>
        <v>2.3978952727983707</v>
      </c>
      <c r="T14" s="9">
        <f>LN(T7)</f>
        <v>3.9318256327243257</v>
      </c>
      <c r="U14">
        <f>AVERAGE(S14:T14)</f>
        <v>3.1648604527613484</v>
      </c>
    </row>
    <row r="15" spans="1:21" x14ac:dyDescent="0.35">
      <c r="A15" t="s">
        <v>5</v>
      </c>
      <c r="B15">
        <f>SUM(B13:B14)</f>
        <v>5.8318824772835169</v>
      </c>
      <c r="C15">
        <f>SUM(C13:C14)</f>
        <v>7.9748769005588755</v>
      </c>
      <c r="D15">
        <f>SUM(D13:D14)</f>
        <v>13.806759377842393</v>
      </c>
      <c r="F15" s="6"/>
      <c r="G15" s="6"/>
      <c r="H15" s="6"/>
      <c r="I15" s="6"/>
      <c r="M15" s="2"/>
      <c r="R15" t="s">
        <v>12</v>
      </c>
      <c r="S15">
        <f>AVERAGE(S13:S14)</f>
        <v>2.9159412386417585</v>
      </c>
      <c r="T15">
        <f>AVERAGE(T13:T14)</f>
        <v>3.9874384502794378</v>
      </c>
      <c r="U15">
        <f>AVERAGE(S13:T14)</f>
        <v>3.4516898444605983</v>
      </c>
    </row>
    <row r="16" spans="1:21" x14ac:dyDescent="0.35">
      <c r="G16" s="6"/>
      <c r="H16" s="6"/>
      <c r="I16" s="6"/>
    </row>
    <row r="17" spans="1:19" x14ac:dyDescent="0.35">
      <c r="A17" t="s">
        <v>21</v>
      </c>
      <c r="F17" s="2"/>
    </row>
    <row r="19" spans="1:19" x14ac:dyDescent="0.35">
      <c r="B19" s="2" t="s">
        <v>3</v>
      </c>
      <c r="C19" s="2" t="s">
        <v>4</v>
      </c>
      <c r="D19" s="2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</row>
    <row r="20" spans="1:19" x14ac:dyDescent="0.35">
      <c r="A20" t="s">
        <v>13</v>
      </c>
      <c r="B20" s="4">
        <f>B8*D6/D8</f>
        <v>24.64</v>
      </c>
      <c r="C20" s="5">
        <f>C8*D6/D8</f>
        <v>63.36</v>
      </c>
      <c r="D20">
        <f>B20+C20</f>
        <v>88</v>
      </c>
      <c r="F20" s="6">
        <v>1</v>
      </c>
      <c r="G20" s="6">
        <v>1</v>
      </c>
      <c r="H20" s="6">
        <v>1</v>
      </c>
      <c r="I20" s="6">
        <f>G20*H20</f>
        <v>1</v>
      </c>
      <c r="J20">
        <f>B20</f>
        <v>24.64</v>
      </c>
      <c r="K20">
        <f>LN(J20)</f>
        <v>3.2043711386653189</v>
      </c>
      <c r="M20" s="2" t="s">
        <v>14</v>
      </c>
      <c r="N20" s="7">
        <f>K24/4</f>
        <v>3.5015007283691872</v>
      </c>
      <c r="P20" s="7">
        <f>EXP(N20)</f>
        <v>33.16518656663942</v>
      </c>
    </row>
    <row r="21" spans="1:19" x14ac:dyDescent="0.35">
      <c r="A21" t="s">
        <v>15</v>
      </c>
      <c r="B21" s="8">
        <f>B8*D7/D8</f>
        <v>17.36</v>
      </c>
      <c r="C21" s="9">
        <f>C8*D7/D8</f>
        <v>44.64</v>
      </c>
      <c r="D21">
        <f>SUM(B21:C21)</f>
        <v>62</v>
      </c>
      <c r="F21" s="6">
        <f>F20+1</f>
        <v>2</v>
      </c>
      <c r="G21" s="6">
        <v>1</v>
      </c>
      <c r="H21" s="6">
        <v>-1</v>
      </c>
      <c r="I21" s="6">
        <f>G21*H21</f>
        <v>-1</v>
      </c>
      <c r="J21">
        <f>B21</f>
        <v>17.36</v>
      </c>
      <c r="K21">
        <f>LN(J21)</f>
        <v>2.8541687092322041</v>
      </c>
      <c r="M21" s="2" t="s">
        <v>16</v>
      </c>
      <c r="N21" s="10">
        <f>(K20+K21)/2-N20</f>
        <v>-0.47223080442042598</v>
      </c>
      <c r="P21" s="10">
        <f>EXP(N21)</f>
        <v>0.62360956446232341</v>
      </c>
    </row>
    <row r="22" spans="1:19" x14ac:dyDescent="0.35">
      <c r="A22" t="s">
        <v>5</v>
      </c>
      <c r="B22">
        <f>SUM(B20:B21)</f>
        <v>42</v>
      </c>
      <c r="C22">
        <f>SUM(C20:C21)</f>
        <v>108</v>
      </c>
      <c r="D22">
        <f>SUM(D20:D21)</f>
        <v>150</v>
      </c>
      <c r="F22" s="6">
        <f>F21+1</f>
        <v>3</v>
      </c>
      <c r="G22" s="6">
        <v>-1</v>
      </c>
      <c r="H22" s="6">
        <v>1</v>
      </c>
      <c r="I22" s="6">
        <f>G22*H22</f>
        <v>-1</v>
      </c>
      <c r="J22">
        <f>C20</f>
        <v>63.36</v>
      </c>
      <c r="K22">
        <f>LN(J22)</f>
        <v>4.1488327475061704</v>
      </c>
      <c r="M22" s="2" t="s">
        <v>17</v>
      </c>
      <c r="N22" s="10">
        <f>(K20+K22)/2-N20</f>
        <v>0.17510121471655715</v>
      </c>
      <c r="P22" s="10">
        <f>EXP(N22)</f>
        <v>1.1913667943625408</v>
      </c>
    </row>
    <row r="23" spans="1:19" x14ac:dyDescent="0.35">
      <c r="F23" s="11">
        <f>F22+1</f>
        <v>4</v>
      </c>
      <c r="G23" s="11">
        <v>-1</v>
      </c>
      <c r="H23" s="11">
        <v>-1</v>
      </c>
      <c r="I23" s="11">
        <f>G23*H23</f>
        <v>1</v>
      </c>
      <c r="J23" s="12">
        <f>C21</f>
        <v>44.64</v>
      </c>
      <c r="K23" s="12">
        <f>LN(J23)</f>
        <v>3.7986303180730556</v>
      </c>
      <c r="M23" s="2" t="s">
        <v>18</v>
      </c>
      <c r="N23" s="13">
        <f>(K20+K23)/2-N20</f>
        <v>0</v>
      </c>
      <c r="P23" s="13">
        <f>EXP(N23)</f>
        <v>1</v>
      </c>
    </row>
    <row r="24" spans="1:19" x14ac:dyDescent="0.35">
      <c r="F24" s="6"/>
      <c r="G24" s="6"/>
      <c r="H24" s="6"/>
      <c r="I24" s="6"/>
      <c r="K24">
        <f>SUM(K20:K23)</f>
        <v>14.006002913476749</v>
      </c>
    </row>
    <row r="25" spans="1:19" x14ac:dyDescent="0.35">
      <c r="F25" s="6"/>
      <c r="G25" s="6"/>
      <c r="H25" s="6"/>
      <c r="I25" s="6"/>
    </row>
    <row r="26" spans="1:19" x14ac:dyDescent="0.35">
      <c r="F26" s="14" t="s">
        <v>22</v>
      </c>
      <c r="G26" s="6"/>
      <c r="H26" s="6"/>
      <c r="I26" s="6"/>
    </row>
    <row r="28" spans="1:19" x14ac:dyDescent="0.35">
      <c r="H28" s="15" t="s">
        <v>23</v>
      </c>
      <c r="I28" s="16"/>
      <c r="J28" s="17"/>
      <c r="K28" s="15" t="s">
        <v>24</v>
      </c>
      <c r="L28" s="16"/>
      <c r="M28" s="17"/>
      <c r="N28" s="15" t="s">
        <v>25</v>
      </c>
      <c r="O28" s="17"/>
      <c r="R28" s="14" t="s">
        <v>26</v>
      </c>
      <c r="S28" s="7">
        <f>P34</f>
        <v>5.7250138911498212</v>
      </c>
    </row>
    <row r="29" spans="1:19" x14ac:dyDescent="0.35">
      <c r="F29" s="18" t="s">
        <v>27</v>
      </c>
      <c r="G29" s="19" t="s">
        <v>28</v>
      </c>
      <c r="H29" s="20" t="s">
        <v>29</v>
      </c>
      <c r="I29" s="3" t="s">
        <v>30</v>
      </c>
      <c r="J29" s="21" t="s">
        <v>11</v>
      </c>
      <c r="K29" s="20" t="s">
        <v>31</v>
      </c>
      <c r="L29" s="3" t="s">
        <v>30</v>
      </c>
      <c r="M29" s="21" t="s">
        <v>32</v>
      </c>
      <c r="N29" s="20" t="s">
        <v>25</v>
      </c>
      <c r="O29" s="21" t="s">
        <v>33</v>
      </c>
      <c r="P29" s="22" t="s">
        <v>26</v>
      </c>
      <c r="R29" t="s">
        <v>34</v>
      </c>
      <c r="S29" s="10">
        <f>(COUNTA(A20:A21)-1)*(COUNTA(B19:C19)-1)</f>
        <v>1</v>
      </c>
    </row>
    <row r="30" spans="1:19" x14ac:dyDescent="0.35">
      <c r="F30" s="4" t="s">
        <v>13</v>
      </c>
      <c r="G30" s="7" t="s">
        <v>3</v>
      </c>
      <c r="H30" s="4">
        <f>J6</f>
        <v>31</v>
      </c>
      <c r="I30" s="23">
        <f>H30/$H$34</f>
        <v>0.20666666666666667</v>
      </c>
      <c r="J30" s="5">
        <f>LN(H30)</f>
        <v>3.4339872044851463</v>
      </c>
      <c r="K30" s="4">
        <f>J20</f>
        <v>24.64</v>
      </c>
      <c r="L30" s="23">
        <f>K30/$H$34</f>
        <v>0.16426666666666667</v>
      </c>
      <c r="M30" s="5">
        <f>LN(K30)</f>
        <v>3.2043711386653189</v>
      </c>
      <c r="N30" s="4">
        <f>H30-K30</f>
        <v>6.3599999999999994</v>
      </c>
      <c r="O30" s="5">
        <f>N30/SQRT(K30)</f>
        <v>1.2812585128003544</v>
      </c>
      <c r="P30" s="10">
        <f>2*H30*(J30-M30)</f>
        <v>14.236196080829298</v>
      </c>
      <c r="R30" s="24" t="s">
        <v>35</v>
      </c>
      <c r="S30" s="10">
        <v>0.05</v>
      </c>
    </row>
    <row r="31" spans="1:19" x14ac:dyDescent="0.35">
      <c r="F31" s="25" t="s">
        <v>15</v>
      </c>
      <c r="G31" s="10" t="s">
        <v>3</v>
      </c>
      <c r="H31" s="25">
        <f>J7</f>
        <v>11</v>
      </c>
      <c r="I31" s="26">
        <f>H31/$H$34</f>
        <v>7.3333333333333334E-2</v>
      </c>
      <c r="J31" s="27">
        <f>LN(H31)</f>
        <v>2.3978952727983707</v>
      </c>
      <c r="K31" s="25">
        <f>J21</f>
        <v>17.36</v>
      </c>
      <c r="L31" s="26">
        <f>K31/$H$34</f>
        <v>0.11573333333333333</v>
      </c>
      <c r="M31" s="27">
        <f>LN(K31)</f>
        <v>2.8541687092322041</v>
      </c>
      <c r="N31" s="25">
        <f>H31-K31</f>
        <v>-6.3599999999999994</v>
      </c>
      <c r="O31" s="27">
        <f>N31/SQRT(K31)</f>
        <v>-1.5264488471446753</v>
      </c>
      <c r="P31" s="10">
        <f>2*H31*(J31-M31)</f>
        <v>-10.038015601544336</v>
      </c>
      <c r="R31" s="14" t="s">
        <v>36</v>
      </c>
      <c r="S31" s="10">
        <f>CHIINV(S30,S29)</f>
        <v>3.8414588206941236</v>
      </c>
    </row>
    <row r="32" spans="1:19" x14ac:dyDescent="0.35">
      <c r="F32" s="25" t="s">
        <v>13</v>
      </c>
      <c r="G32" s="10" t="s">
        <v>4</v>
      </c>
      <c r="H32" s="25">
        <f>J8</f>
        <v>57</v>
      </c>
      <c r="I32" s="26">
        <f>H32/$H$34</f>
        <v>0.38</v>
      </c>
      <c r="J32" s="27">
        <f>LN(H32)</f>
        <v>4.0430512678345503</v>
      </c>
      <c r="K32" s="25">
        <f>J22</f>
        <v>63.36</v>
      </c>
      <c r="L32" s="26">
        <f>K32/$H$34</f>
        <v>0.4224</v>
      </c>
      <c r="M32" s="27">
        <f>LN(K32)</f>
        <v>4.1488327475061704</v>
      </c>
      <c r="N32" s="25">
        <f>H32-K32</f>
        <v>-6.3599999999999994</v>
      </c>
      <c r="O32" s="27">
        <f>N32/SQRT(K32)</f>
        <v>-0.79900506313107356</v>
      </c>
      <c r="P32" s="10">
        <f>2*H32*(J32-M32)</f>
        <v>-12.059088682564692</v>
      </c>
      <c r="R32" s="24" t="s">
        <v>37</v>
      </c>
      <c r="S32" s="10">
        <f>CHIDIST(S28,S29)</f>
        <v>1.6724904294501547E-2</v>
      </c>
    </row>
    <row r="33" spans="6:19" x14ac:dyDescent="0.35">
      <c r="F33" s="8" t="s">
        <v>15</v>
      </c>
      <c r="G33" s="13" t="s">
        <v>4</v>
      </c>
      <c r="H33" s="8">
        <f>J9</f>
        <v>51</v>
      </c>
      <c r="I33" s="28">
        <f>H33/$H$34</f>
        <v>0.34</v>
      </c>
      <c r="J33" s="9">
        <f>LN(H33)</f>
        <v>3.9318256327243257</v>
      </c>
      <c r="K33" s="8">
        <f>J23</f>
        <v>44.64</v>
      </c>
      <c r="L33" s="28">
        <f>K33/$H$34</f>
        <v>0.29760000000000003</v>
      </c>
      <c r="M33" s="9">
        <f>LN(K33)</f>
        <v>3.7986303180730556</v>
      </c>
      <c r="N33" s="8">
        <f>H33-K33</f>
        <v>6.3599999999999994</v>
      </c>
      <c r="O33" s="9">
        <f>N33/SQRT(K33)</f>
        <v>0.9519081007419069</v>
      </c>
      <c r="P33" s="13">
        <f>2*H33*(J33-M33)</f>
        <v>13.58592209442955</v>
      </c>
      <c r="R33" s="24" t="s">
        <v>38</v>
      </c>
      <c r="S33" s="29" t="str">
        <f>IF(S32&lt;S30,"yes","no")</f>
        <v>yes</v>
      </c>
    </row>
    <row r="34" spans="6:19" x14ac:dyDescent="0.35">
      <c r="G34" s="30"/>
      <c r="H34">
        <f>SUM(H30:H33)</f>
        <v>150</v>
      </c>
      <c r="I34" s="26"/>
      <c r="J34" s="30"/>
      <c r="P34" s="30">
        <f>SUM(P30:P33)</f>
        <v>5.7250138911498212</v>
      </c>
    </row>
    <row r="36" spans="6:19" x14ac:dyDescent="0.35">
      <c r="L36" s="31"/>
    </row>
  </sheetData>
  <mergeCells count="3">
    <mergeCell ref="H28:J28"/>
    <mergeCell ref="K28:M28"/>
    <mergeCell ref="N28:O2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EED2E-57B6-432D-B066-96C4CF17B202}">
  <sheetPr codeName="Sheet40"/>
  <dimension ref="A1:P24"/>
  <sheetViews>
    <sheetView workbookViewId="0"/>
  </sheetViews>
  <sheetFormatPr defaultRowHeight="14.5" x14ac:dyDescent="0.35"/>
  <cols>
    <col min="1" max="1" width="11.1796875" customWidth="1"/>
    <col min="5" max="5" width="6.26953125" customWidth="1"/>
    <col min="12" max="12" width="8.81640625" customWidth="1"/>
  </cols>
  <sheetData>
    <row r="1" spans="1:16" x14ac:dyDescent="0.35">
      <c r="A1" s="1" t="s">
        <v>39</v>
      </c>
    </row>
    <row r="3" spans="1:16" x14ac:dyDescent="0.35">
      <c r="A3" t="s">
        <v>1</v>
      </c>
    </row>
    <row r="5" spans="1:16" x14ac:dyDescent="0.35">
      <c r="B5" s="2" t="s">
        <v>3</v>
      </c>
      <c r="C5" s="2" t="s">
        <v>4</v>
      </c>
      <c r="D5" s="2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</row>
    <row r="6" spans="1:16" x14ac:dyDescent="0.35">
      <c r="A6" t="s">
        <v>13</v>
      </c>
      <c r="B6" s="4">
        <v>31</v>
      </c>
      <c r="C6" s="5">
        <v>57</v>
      </c>
      <c r="D6">
        <f>SUM(B6:C6)</f>
        <v>88</v>
      </c>
      <c r="F6" s="6">
        <v>1</v>
      </c>
      <c r="G6" s="6">
        <v>0</v>
      </c>
      <c r="H6" s="6">
        <v>1</v>
      </c>
      <c r="I6" s="6">
        <f>G6*H6</f>
        <v>0</v>
      </c>
      <c r="J6">
        <f>B6</f>
        <v>31</v>
      </c>
      <c r="K6">
        <f>LN(J6)</f>
        <v>3.4339872044851463</v>
      </c>
      <c r="M6" s="2" t="s">
        <v>14</v>
      </c>
      <c r="N6" s="7">
        <f>K7</f>
        <v>2.3978952727983707</v>
      </c>
      <c r="P6" s="7">
        <f>EXP(N6)</f>
        <v>11.000000000000002</v>
      </c>
    </row>
    <row r="7" spans="1:16" x14ac:dyDescent="0.35">
      <c r="A7" t="s">
        <v>15</v>
      </c>
      <c r="B7" s="8">
        <v>11</v>
      </c>
      <c r="C7" s="9">
        <v>51</v>
      </c>
      <c r="D7">
        <f>SUM(B7:C7)</f>
        <v>62</v>
      </c>
      <c r="F7" s="6">
        <f>F6+1</f>
        <v>2</v>
      </c>
      <c r="G7" s="6">
        <v>0</v>
      </c>
      <c r="H7" s="6">
        <v>0</v>
      </c>
      <c r="I7" s="6">
        <f>G7*H7</f>
        <v>0</v>
      </c>
      <c r="J7">
        <f>B7</f>
        <v>11</v>
      </c>
      <c r="K7">
        <f>LN(J7)</f>
        <v>2.3978952727983707</v>
      </c>
      <c r="M7" s="2" t="s">
        <v>16</v>
      </c>
      <c r="N7" s="10">
        <f>K9-N6</f>
        <v>1.5339303599259551</v>
      </c>
      <c r="P7" s="10">
        <f>EXP(N7)</f>
        <v>4.6363636363636358</v>
      </c>
    </row>
    <row r="8" spans="1:16" x14ac:dyDescent="0.35">
      <c r="A8" t="s">
        <v>5</v>
      </c>
      <c r="B8">
        <f>SUM(B6:B7)</f>
        <v>42</v>
      </c>
      <c r="C8">
        <f>SUM(C6:C7)</f>
        <v>108</v>
      </c>
      <c r="D8">
        <f>SUM(D6:D7)</f>
        <v>150</v>
      </c>
      <c r="F8" s="6">
        <f>F7+1</f>
        <v>3</v>
      </c>
      <c r="G8" s="6">
        <v>1</v>
      </c>
      <c r="H8" s="6">
        <v>1</v>
      </c>
      <c r="I8" s="6">
        <f>G8*H8</f>
        <v>1</v>
      </c>
      <c r="J8">
        <f>C6</f>
        <v>57</v>
      </c>
      <c r="K8">
        <f>LN(J8)</f>
        <v>4.0430512678345503</v>
      </c>
      <c r="M8" s="2" t="s">
        <v>17</v>
      </c>
      <c r="N8" s="10">
        <f>K6-N6</f>
        <v>1.0360919316867756</v>
      </c>
      <c r="P8" s="10">
        <f>EXP(N8)</f>
        <v>2.8181818181818179</v>
      </c>
    </row>
    <row r="9" spans="1:16" x14ac:dyDescent="0.35">
      <c r="F9" s="11">
        <f>F8+1</f>
        <v>4</v>
      </c>
      <c r="G9" s="11">
        <v>1</v>
      </c>
      <c r="H9" s="11">
        <v>0</v>
      </c>
      <c r="I9" s="11">
        <f>G9*H9</f>
        <v>0</v>
      </c>
      <c r="J9" s="12">
        <f>C7</f>
        <v>51</v>
      </c>
      <c r="K9" s="12">
        <f>LN(J9)</f>
        <v>3.9318256327243257</v>
      </c>
      <c r="M9" s="2" t="s">
        <v>18</v>
      </c>
      <c r="N9" s="13">
        <f>K8-N6-N7-N8</f>
        <v>-0.92486629657655106</v>
      </c>
      <c r="P9" s="13">
        <f>EXP(N9)</f>
        <v>0.39658444022770412</v>
      </c>
    </row>
    <row r="11" spans="1:16" x14ac:dyDescent="0.35">
      <c r="A11" t="s">
        <v>21</v>
      </c>
      <c r="F11" s="2"/>
    </row>
    <row r="13" spans="1:16" x14ac:dyDescent="0.35">
      <c r="B13" s="2" t="s">
        <v>3</v>
      </c>
      <c r="C13" s="2" t="s">
        <v>4</v>
      </c>
      <c r="D13" s="2" t="s">
        <v>5</v>
      </c>
      <c r="F13" s="3" t="s">
        <v>6</v>
      </c>
      <c r="G13" s="3" t="s">
        <v>7</v>
      </c>
      <c r="H13" s="3" t="s">
        <v>8</v>
      </c>
      <c r="I13" s="3" t="s">
        <v>9</v>
      </c>
      <c r="J13" s="3" t="s">
        <v>10</v>
      </c>
      <c r="K13" s="3" t="s">
        <v>11</v>
      </c>
    </row>
    <row r="14" spans="1:16" x14ac:dyDescent="0.35">
      <c r="A14" t="s">
        <v>13</v>
      </c>
      <c r="B14" s="4">
        <f>B8*D6/D8</f>
        <v>24.64</v>
      </c>
      <c r="C14" s="5">
        <f>C8*D6/D8</f>
        <v>63.36</v>
      </c>
      <c r="D14">
        <f>B14+C14</f>
        <v>88</v>
      </c>
      <c r="F14" s="6">
        <v>1</v>
      </c>
      <c r="G14" s="6">
        <v>0</v>
      </c>
      <c r="H14" s="6">
        <v>1</v>
      </c>
      <c r="I14" s="6">
        <f>G14*H14</f>
        <v>0</v>
      </c>
      <c r="J14">
        <f>B14</f>
        <v>24.64</v>
      </c>
      <c r="K14">
        <f>LN(J14)</f>
        <v>3.2043711386653189</v>
      </c>
      <c r="M14" s="2" t="s">
        <v>14</v>
      </c>
      <c r="N14" s="7">
        <f>K15</f>
        <v>2.8541687092322041</v>
      </c>
      <c r="P14" s="7">
        <f>EXP(N14)</f>
        <v>17.36</v>
      </c>
    </row>
    <row r="15" spans="1:16" x14ac:dyDescent="0.35">
      <c r="A15" t="s">
        <v>15</v>
      </c>
      <c r="B15" s="8">
        <f>B8*D7/D8</f>
        <v>17.36</v>
      </c>
      <c r="C15" s="9">
        <f>C8*D7/D8</f>
        <v>44.64</v>
      </c>
      <c r="D15">
        <f>SUM(B15:C15)</f>
        <v>62</v>
      </c>
      <c r="F15" s="6">
        <f>F14+1</f>
        <v>2</v>
      </c>
      <c r="G15" s="6">
        <v>0</v>
      </c>
      <c r="H15" s="6">
        <v>0</v>
      </c>
      <c r="I15" s="6">
        <f>G15*H15</f>
        <v>0</v>
      </c>
      <c r="J15">
        <f>B15</f>
        <v>17.36</v>
      </c>
      <c r="K15">
        <f>LN(J15)</f>
        <v>2.8541687092322041</v>
      </c>
      <c r="M15" s="2" t="s">
        <v>16</v>
      </c>
      <c r="N15" s="10">
        <f>K17-N14</f>
        <v>0.94446160884085151</v>
      </c>
      <c r="P15" s="10">
        <f>EXP(N15)</f>
        <v>2.5714285714285716</v>
      </c>
    </row>
    <row r="16" spans="1:16" x14ac:dyDescent="0.35">
      <c r="A16" t="s">
        <v>5</v>
      </c>
      <c r="B16">
        <f>SUM(B14:B15)</f>
        <v>42</v>
      </c>
      <c r="C16">
        <f>SUM(C14:C15)</f>
        <v>108</v>
      </c>
      <c r="D16">
        <f>SUM(D14:D15)</f>
        <v>150</v>
      </c>
      <c r="F16" s="6">
        <f>F15+1</f>
        <v>3</v>
      </c>
      <c r="G16" s="6">
        <v>1</v>
      </c>
      <c r="H16" s="6">
        <v>1</v>
      </c>
      <c r="I16" s="6">
        <f>G16*H16</f>
        <v>1</v>
      </c>
      <c r="J16">
        <f>C14</f>
        <v>63.36</v>
      </c>
      <c r="K16">
        <f>LN(J16)</f>
        <v>4.1488327475061704</v>
      </c>
      <c r="M16" s="2" t="s">
        <v>17</v>
      </c>
      <c r="N16" s="10">
        <f>K14-N14</f>
        <v>0.35020242943311475</v>
      </c>
      <c r="P16" s="10">
        <f>EXP(N16)</f>
        <v>1.4193548387096773</v>
      </c>
    </row>
    <row r="17" spans="6:16" x14ac:dyDescent="0.35">
      <c r="F17" s="11">
        <f>F16+1</f>
        <v>4</v>
      </c>
      <c r="G17" s="11">
        <v>1</v>
      </c>
      <c r="H17" s="11">
        <v>0</v>
      </c>
      <c r="I17" s="11">
        <f>G17*H17</f>
        <v>0</v>
      </c>
      <c r="J17" s="12">
        <f>C15</f>
        <v>44.64</v>
      </c>
      <c r="K17" s="12">
        <f>LN(J17)</f>
        <v>3.7986303180730556</v>
      </c>
      <c r="M17" s="2" t="s">
        <v>18</v>
      </c>
      <c r="N17" s="13">
        <f>K16-N14-N15-N16</f>
        <v>0</v>
      </c>
      <c r="P17" s="13">
        <f>EXP(N17)</f>
        <v>1</v>
      </c>
    </row>
    <row r="18" spans="6:16" x14ac:dyDescent="0.35">
      <c r="F18" s="6"/>
      <c r="G18" s="6"/>
      <c r="H18" s="6"/>
      <c r="I18" s="6"/>
    </row>
    <row r="19" spans="6:16" x14ac:dyDescent="0.35">
      <c r="F19" s="6"/>
      <c r="G19" s="6"/>
      <c r="H19" s="6"/>
      <c r="I19" s="6"/>
    </row>
    <row r="20" spans="6:16" x14ac:dyDescent="0.35">
      <c r="F20" s="6"/>
      <c r="G20" s="6"/>
      <c r="H20" s="6"/>
      <c r="I20" s="6"/>
    </row>
    <row r="21" spans="6:16" x14ac:dyDescent="0.35">
      <c r="F21" s="6"/>
      <c r="G21" s="6"/>
      <c r="H21" s="6"/>
      <c r="I21" s="6"/>
    </row>
    <row r="22" spans="6:16" x14ac:dyDescent="0.35">
      <c r="F22" s="6"/>
      <c r="G22" s="6"/>
      <c r="H22" s="6"/>
      <c r="I22" s="6"/>
    </row>
    <row r="23" spans="6:16" x14ac:dyDescent="0.35">
      <c r="F23" s="6"/>
      <c r="G23" s="6"/>
      <c r="H23" s="6"/>
      <c r="I23" s="6"/>
    </row>
    <row r="24" spans="6:16" x14ac:dyDescent="0.35">
      <c r="F24" s="6"/>
      <c r="G24" s="6"/>
      <c r="H24" s="6"/>
      <c r="I24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C0EFC-8243-40B8-8220-AA92750D5387}">
  <sheetPr codeName="Sheet135"/>
  <dimension ref="A1:O22"/>
  <sheetViews>
    <sheetView workbookViewId="0"/>
  </sheetViews>
  <sheetFormatPr defaultRowHeight="14.5" x14ac:dyDescent="0.35"/>
  <cols>
    <col min="7" max="7" width="20.26953125" customWidth="1"/>
    <col min="8" max="8" width="12.7265625" customWidth="1"/>
    <col min="9" max="9" width="14.453125" customWidth="1"/>
    <col min="12" max="13" width="12.1796875" customWidth="1"/>
  </cols>
  <sheetData>
    <row r="1" spans="1:12" x14ac:dyDescent="0.35">
      <c r="A1" s="1" t="s">
        <v>40</v>
      </c>
    </row>
    <row r="3" spans="1:12" x14ac:dyDescent="0.35">
      <c r="A3" s="3" t="s">
        <v>7</v>
      </c>
      <c r="B3" s="3" t="s">
        <v>8</v>
      </c>
      <c r="C3" s="3" t="s">
        <v>9</v>
      </c>
      <c r="D3" s="3" t="s">
        <v>10</v>
      </c>
      <c r="E3" s="3" t="s">
        <v>11</v>
      </c>
      <c r="G3" t="s">
        <v>41</v>
      </c>
    </row>
    <row r="4" spans="1:12" ht="15" thickBot="1" x14ac:dyDescent="0.4">
      <c r="A4" s="6">
        <v>1</v>
      </c>
      <c r="B4" s="6">
        <v>1</v>
      </c>
      <c r="C4" s="6">
        <v>1</v>
      </c>
      <c r="D4">
        <v>24.64</v>
      </c>
      <c r="E4">
        <f>LN(D4)</f>
        <v>3.2043711386653189</v>
      </c>
    </row>
    <row r="5" spans="1:12" x14ac:dyDescent="0.35">
      <c r="A5" s="6">
        <v>1</v>
      </c>
      <c r="B5" s="6">
        <v>-1</v>
      </c>
      <c r="C5" s="6">
        <v>-1</v>
      </c>
      <c r="D5">
        <v>17.36</v>
      </c>
      <c r="E5">
        <f>LN(D5)</f>
        <v>2.8541687092322041</v>
      </c>
      <c r="G5" s="32" t="s">
        <v>42</v>
      </c>
      <c r="H5" s="32"/>
    </row>
    <row r="6" spans="1:12" x14ac:dyDescent="0.35">
      <c r="A6" s="6">
        <v>-1</v>
      </c>
      <c r="B6" s="6">
        <v>1</v>
      </c>
      <c r="C6" s="6">
        <v>-1</v>
      </c>
      <c r="D6">
        <v>63.36</v>
      </c>
      <c r="E6">
        <f>LN(D6)</f>
        <v>4.1488327475061704</v>
      </c>
      <c r="G6" t="s">
        <v>43</v>
      </c>
      <c r="H6">
        <v>1</v>
      </c>
    </row>
    <row r="7" spans="1:12" x14ac:dyDescent="0.35">
      <c r="A7" s="11">
        <v>-1</v>
      </c>
      <c r="B7" s="11">
        <v>-1</v>
      </c>
      <c r="C7" s="11">
        <v>1</v>
      </c>
      <c r="D7" s="12">
        <v>44.64</v>
      </c>
      <c r="E7" s="12">
        <f>LN(D7)</f>
        <v>3.7986303180730556</v>
      </c>
      <c r="G7" t="s">
        <v>44</v>
      </c>
      <c r="H7">
        <v>1</v>
      </c>
    </row>
    <row r="8" spans="1:12" x14ac:dyDescent="0.35">
      <c r="G8" t="s">
        <v>45</v>
      </c>
      <c r="H8">
        <v>65535</v>
      </c>
    </row>
    <row r="9" spans="1:12" x14ac:dyDescent="0.35">
      <c r="G9" t="s">
        <v>46</v>
      </c>
      <c r="H9">
        <v>0</v>
      </c>
    </row>
    <row r="10" spans="1:12" ht="15" thickBot="1" x14ac:dyDescent="0.4">
      <c r="G10" s="33" t="s">
        <v>47</v>
      </c>
      <c r="H10" s="33">
        <v>4</v>
      </c>
    </row>
    <row r="12" spans="1:12" ht="15" thickBot="1" x14ac:dyDescent="0.4">
      <c r="G12" t="s">
        <v>48</v>
      </c>
    </row>
    <row r="13" spans="1:12" x14ac:dyDescent="0.35">
      <c r="G13" s="34"/>
      <c r="H13" s="34" t="s">
        <v>34</v>
      </c>
      <c r="I13" s="34" t="s">
        <v>49</v>
      </c>
      <c r="J13" s="34" t="s">
        <v>50</v>
      </c>
      <c r="K13" s="34" t="s">
        <v>51</v>
      </c>
      <c r="L13" s="34" t="s">
        <v>52</v>
      </c>
    </row>
    <row r="14" spans="1:12" x14ac:dyDescent="0.35">
      <c r="G14" t="s">
        <v>53</v>
      </c>
      <c r="H14">
        <v>3</v>
      </c>
      <c r="I14">
        <v>1.0146494721551051</v>
      </c>
      <c r="J14">
        <v>0.3382164907183684</v>
      </c>
      <c r="K14" t="e">
        <v>#NUM!</v>
      </c>
      <c r="L14" t="e">
        <v>#NUM!</v>
      </c>
    </row>
    <row r="15" spans="1:12" x14ac:dyDescent="0.35">
      <c r="G15" t="s">
        <v>54</v>
      </c>
      <c r="H15">
        <v>0</v>
      </c>
      <c r="I15">
        <v>0</v>
      </c>
      <c r="J15">
        <v>65535</v>
      </c>
    </row>
    <row r="16" spans="1:12" ht="15" thickBot="1" x14ac:dyDescent="0.4">
      <c r="G16" s="33" t="s">
        <v>5</v>
      </c>
      <c r="H16" s="33">
        <v>3</v>
      </c>
      <c r="I16" s="33">
        <v>1.0146494721551051</v>
      </c>
      <c r="J16" s="33"/>
      <c r="K16" s="33"/>
      <c r="L16" s="33"/>
    </row>
    <row r="17" spans="7:15" ht="15" thickBot="1" x14ac:dyDescent="0.4"/>
    <row r="18" spans="7:15" x14ac:dyDescent="0.35">
      <c r="G18" s="34"/>
      <c r="H18" s="34" t="s">
        <v>55</v>
      </c>
      <c r="I18" s="34" t="s">
        <v>46</v>
      </c>
      <c r="J18" s="34" t="s">
        <v>56</v>
      </c>
      <c r="K18" s="34" t="s">
        <v>57</v>
      </c>
      <c r="L18" s="34" t="s">
        <v>58</v>
      </c>
      <c r="M18" s="34" t="s">
        <v>59</v>
      </c>
      <c r="N18" s="34" t="s">
        <v>60</v>
      </c>
      <c r="O18" s="34" t="s">
        <v>61</v>
      </c>
    </row>
    <row r="19" spans="7:15" x14ac:dyDescent="0.35">
      <c r="G19" t="s">
        <v>62</v>
      </c>
      <c r="H19">
        <v>3.5015007283691872</v>
      </c>
      <c r="I19">
        <v>0</v>
      </c>
      <c r="J19">
        <v>65535</v>
      </c>
      <c r="K19" t="e">
        <v>#NUM!</v>
      </c>
      <c r="L19">
        <v>3.5015007283691872</v>
      </c>
      <c r="M19">
        <v>3.5015007283691872</v>
      </c>
      <c r="N19">
        <v>3.5015007283691872</v>
      </c>
      <c r="O19">
        <v>3.5015007283691872</v>
      </c>
    </row>
    <row r="20" spans="7:15" x14ac:dyDescent="0.35">
      <c r="G20" t="s">
        <v>7</v>
      </c>
      <c r="H20">
        <v>-0.47223080442042575</v>
      </c>
      <c r="I20">
        <v>0</v>
      </c>
      <c r="J20">
        <v>65535</v>
      </c>
      <c r="K20" t="e">
        <v>#NUM!</v>
      </c>
      <c r="L20">
        <v>-0.47223080442042575</v>
      </c>
      <c r="M20">
        <v>-0.47223080442042575</v>
      </c>
      <c r="N20">
        <v>-0.47223080442042575</v>
      </c>
      <c r="O20">
        <v>-0.47223080442042575</v>
      </c>
    </row>
    <row r="21" spans="7:15" x14ac:dyDescent="0.35">
      <c r="G21" t="s">
        <v>8</v>
      </c>
      <c r="H21">
        <v>0.17510121471655743</v>
      </c>
      <c r="I21">
        <v>0</v>
      </c>
      <c r="J21">
        <v>65535</v>
      </c>
      <c r="K21" t="e">
        <v>#NUM!</v>
      </c>
      <c r="L21">
        <v>0.17510121471655743</v>
      </c>
      <c r="M21">
        <v>0.17510121471655743</v>
      </c>
      <c r="N21">
        <v>0.17510121471655743</v>
      </c>
      <c r="O21">
        <v>0.17510121471655743</v>
      </c>
    </row>
    <row r="22" spans="7:15" ht="15" thickBot="1" x14ac:dyDescent="0.4">
      <c r="G22" s="33" t="s">
        <v>9</v>
      </c>
      <c r="H22" s="33">
        <v>3.0830000307762447E-18</v>
      </c>
      <c r="I22" s="33">
        <v>0</v>
      </c>
      <c r="J22" s="33">
        <v>65535</v>
      </c>
      <c r="K22" s="33" t="e">
        <v>#NUM!</v>
      </c>
      <c r="L22" s="33">
        <v>3.0830000307762447E-18</v>
      </c>
      <c r="M22" s="33">
        <v>3.0830000307762447E-18</v>
      </c>
      <c r="N22" s="33">
        <v>3.0830000307762447E-18</v>
      </c>
      <c r="O22" s="33">
        <v>3.0830000307762447E-18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E921C9-D53F-46A5-B2C9-9158F0647F51}">
  <sheetPr codeName="Sheet134"/>
  <dimension ref="A1:AP95"/>
  <sheetViews>
    <sheetView workbookViewId="0"/>
  </sheetViews>
  <sheetFormatPr defaultRowHeight="14.5" x14ac:dyDescent="0.35"/>
  <cols>
    <col min="1" max="1" width="10.1796875" customWidth="1"/>
    <col min="3" max="3" width="10.1796875" customWidth="1"/>
    <col min="5" max="5" width="8.81640625" customWidth="1"/>
    <col min="6" max="6" width="10.26953125" customWidth="1"/>
    <col min="9" max="9" width="9.453125" customWidth="1"/>
    <col min="10" max="10" width="8.7265625" customWidth="1"/>
    <col min="11" max="11" width="10.1796875" customWidth="1"/>
    <col min="14" max="14" width="9.1796875" customWidth="1"/>
    <col min="17" max="17" width="10.26953125" customWidth="1"/>
    <col min="21" max="21" width="5.26953125" customWidth="1"/>
    <col min="22" max="22" width="14.26953125" customWidth="1"/>
    <col min="29" max="29" width="10.453125" customWidth="1"/>
    <col min="34" max="34" width="10.1796875" customWidth="1"/>
    <col min="39" max="39" width="10.26953125" customWidth="1"/>
  </cols>
  <sheetData>
    <row r="1" spans="1:42" x14ac:dyDescent="0.35">
      <c r="A1" s="1" t="s">
        <v>63</v>
      </c>
    </row>
    <row r="2" spans="1:42" x14ac:dyDescent="0.35">
      <c r="A2" s="1"/>
    </row>
    <row r="3" spans="1:42" s="1" customFormat="1" x14ac:dyDescent="0.35">
      <c r="A3" s="1" t="s">
        <v>64</v>
      </c>
      <c r="F3" s="35"/>
      <c r="G3" s="35"/>
      <c r="H3" s="35"/>
      <c r="I3" s="35"/>
      <c r="AC3" s="1" t="s">
        <v>65</v>
      </c>
      <c r="AD3"/>
      <c r="AE3"/>
      <c r="AF3"/>
      <c r="AG3"/>
      <c r="AH3" s="1" t="s">
        <v>66</v>
      </c>
      <c r="AI3"/>
      <c r="AJ3"/>
      <c r="AK3"/>
      <c r="AL3"/>
      <c r="AM3" s="1" t="s">
        <v>67</v>
      </c>
      <c r="AN3"/>
      <c r="AO3"/>
      <c r="AP3"/>
    </row>
    <row r="4" spans="1:42" x14ac:dyDescent="0.35">
      <c r="F4" s="6"/>
      <c r="G4" s="6"/>
      <c r="H4" s="6"/>
      <c r="I4" s="6"/>
    </row>
    <row r="5" spans="1:42" x14ac:dyDescent="0.35">
      <c r="A5" t="s">
        <v>68</v>
      </c>
      <c r="F5" t="s">
        <v>69</v>
      </c>
      <c r="G5" s="6"/>
      <c r="H5" s="6"/>
      <c r="I5" t="s">
        <v>70</v>
      </c>
      <c r="AD5" s="2" t="s">
        <v>3</v>
      </c>
      <c r="AE5" s="2" t="s">
        <v>4</v>
      </c>
      <c r="AF5" s="2" t="s">
        <v>5</v>
      </c>
      <c r="AI5" s="2" t="s">
        <v>3</v>
      </c>
      <c r="AJ5" s="2" t="s">
        <v>4</v>
      </c>
      <c r="AK5" s="2" t="s">
        <v>5</v>
      </c>
      <c r="AN5" s="2" t="s">
        <v>3</v>
      </c>
      <c r="AO5" s="2" t="s">
        <v>4</v>
      </c>
      <c r="AP5" s="2" t="s">
        <v>5</v>
      </c>
    </row>
    <row r="6" spans="1:42" x14ac:dyDescent="0.35">
      <c r="Q6" t="s">
        <v>71</v>
      </c>
      <c r="V6" t="s">
        <v>72</v>
      </c>
      <c r="AC6" t="s">
        <v>13</v>
      </c>
      <c r="AD6" s="4">
        <v>21</v>
      </c>
      <c r="AE6" s="5">
        <v>54</v>
      </c>
      <c r="AF6">
        <v>75</v>
      </c>
      <c r="AH6" t="s">
        <v>13</v>
      </c>
      <c r="AI6" s="4">
        <v>44</v>
      </c>
      <c r="AJ6" s="5">
        <v>44</v>
      </c>
      <c r="AK6">
        <v>88</v>
      </c>
      <c r="AM6" t="s">
        <v>13</v>
      </c>
      <c r="AN6" s="4">
        <v>37.5</v>
      </c>
      <c r="AO6" s="5">
        <v>37.5</v>
      </c>
      <c r="AP6">
        <v>75</v>
      </c>
    </row>
    <row r="7" spans="1:42" x14ac:dyDescent="0.35">
      <c r="B7" s="2" t="s">
        <v>3</v>
      </c>
      <c r="C7" s="2" t="s">
        <v>4</v>
      </c>
      <c r="D7" s="2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73</v>
      </c>
      <c r="K7" s="3" t="s">
        <v>32</v>
      </c>
      <c r="AC7" t="s">
        <v>15</v>
      </c>
      <c r="AD7" s="8">
        <v>21</v>
      </c>
      <c r="AE7" s="9">
        <v>54</v>
      </c>
      <c r="AF7">
        <v>75</v>
      </c>
      <c r="AH7" t="s">
        <v>15</v>
      </c>
      <c r="AI7" s="8">
        <v>31</v>
      </c>
      <c r="AJ7" s="9">
        <v>31</v>
      </c>
      <c r="AK7">
        <v>62</v>
      </c>
      <c r="AM7" t="s">
        <v>15</v>
      </c>
      <c r="AN7" s="8">
        <v>37.5</v>
      </c>
      <c r="AO7" s="9">
        <v>37.5</v>
      </c>
      <c r="AP7">
        <v>75</v>
      </c>
    </row>
    <row r="8" spans="1:42" ht="15" thickBot="1" x14ac:dyDescent="0.4">
      <c r="A8" t="s">
        <v>13</v>
      </c>
      <c r="B8" s="4">
        <v>31</v>
      </c>
      <c r="C8" s="5">
        <v>57</v>
      </c>
      <c r="D8">
        <f>SUM(B8:C8)</f>
        <v>88</v>
      </c>
      <c r="F8" s="6">
        <v>1</v>
      </c>
      <c r="G8" s="6">
        <v>1</v>
      </c>
      <c r="H8" s="6">
        <v>1</v>
      </c>
      <c r="I8" s="6">
        <f>G8*H8</f>
        <v>1</v>
      </c>
      <c r="J8">
        <f>B16</f>
        <v>24.64</v>
      </c>
      <c r="K8">
        <f>LN(J8)</f>
        <v>3.2043711386653189</v>
      </c>
      <c r="L8" s="2" t="s">
        <v>14</v>
      </c>
      <c r="M8" s="7">
        <f>AVERAGE(K8:K11)</f>
        <v>3.5015007283691872</v>
      </c>
      <c r="O8" s="7">
        <f>EXP(M8)</f>
        <v>33.16518656663942</v>
      </c>
      <c r="R8" t="str">
        <f>B7</f>
        <v>Therapy 1</v>
      </c>
      <c r="S8" t="str">
        <f>C7</f>
        <v>Therapy 2</v>
      </c>
      <c r="T8" t="s">
        <v>5</v>
      </c>
      <c r="V8" t="s">
        <v>74</v>
      </c>
      <c r="X8" t="s">
        <v>75</v>
      </c>
      <c r="Y8">
        <v>0.05</v>
      </c>
      <c r="AC8" t="s">
        <v>5</v>
      </c>
      <c r="AD8">
        <v>42</v>
      </c>
      <c r="AE8">
        <v>108</v>
      </c>
      <c r="AF8">
        <v>150</v>
      </c>
      <c r="AH8" t="s">
        <v>5</v>
      </c>
      <c r="AI8">
        <v>75</v>
      </c>
      <c r="AJ8">
        <v>75</v>
      </c>
      <c r="AK8">
        <v>150</v>
      </c>
      <c r="AM8" t="s">
        <v>5</v>
      </c>
      <c r="AN8">
        <v>75</v>
      </c>
      <c r="AO8">
        <v>75</v>
      </c>
      <c r="AP8">
        <v>150</v>
      </c>
    </row>
    <row r="9" spans="1:42" ht="15" thickTop="1" x14ac:dyDescent="0.35">
      <c r="A9" t="s">
        <v>15</v>
      </c>
      <c r="B9" s="8">
        <v>11</v>
      </c>
      <c r="C9" s="9">
        <v>51</v>
      </c>
      <c r="D9">
        <f>SUM(B9:C9)</f>
        <v>62</v>
      </c>
      <c r="F9" s="6">
        <f>F8+1</f>
        <v>2</v>
      </c>
      <c r="G9" s="6">
        <v>-1</v>
      </c>
      <c r="H9" s="6">
        <v>1</v>
      </c>
      <c r="I9" s="6">
        <f>G9*H9</f>
        <v>-1</v>
      </c>
      <c r="J9">
        <f>B17</f>
        <v>17.36</v>
      </c>
      <c r="K9">
        <f>LN(J9)</f>
        <v>2.8541687092322041</v>
      </c>
      <c r="L9" s="2" t="s">
        <v>16</v>
      </c>
      <c r="M9" s="10">
        <f>(K8+K10)/2-M8</f>
        <v>0.17510121471655715</v>
      </c>
      <c r="O9" s="10">
        <f>EXP(M9)</f>
        <v>1.1913667943625408</v>
      </c>
      <c r="Q9" t="str">
        <f>A8</f>
        <v>Cured</v>
      </c>
      <c r="R9" s="36">
        <f t="array" ref="R9:S10">MMULT(T9:T10,R11:S11)/T11</f>
        <v>24.64</v>
      </c>
      <c r="S9" s="37">
        <v>63.36</v>
      </c>
      <c r="T9">
        <f>SUM(A8:C8)</f>
        <v>88</v>
      </c>
      <c r="V9" s="40" t="s">
        <v>76</v>
      </c>
      <c r="W9" s="40" t="s">
        <v>77</v>
      </c>
      <c r="X9" s="40" t="s">
        <v>78</v>
      </c>
      <c r="Y9" s="40" t="s">
        <v>34</v>
      </c>
    </row>
    <row r="10" spans="1:42" x14ac:dyDescent="0.35">
      <c r="A10" t="s">
        <v>5</v>
      </c>
      <c r="B10">
        <f>SUM(B8:B9)</f>
        <v>42</v>
      </c>
      <c r="C10">
        <f>SUM(C8:C9)</f>
        <v>108</v>
      </c>
      <c r="D10">
        <f>SUM(D8:D9)</f>
        <v>150</v>
      </c>
      <c r="F10" s="6">
        <f>F9+1</f>
        <v>3</v>
      </c>
      <c r="G10" s="6">
        <v>1</v>
      </c>
      <c r="H10" s="6">
        <v>-1</v>
      </c>
      <c r="I10" s="6">
        <f>G10*H10</f>
        <v>-1</v>
      </c>
      <c r="J10">
        <f>C16</f>
        <v>63.36</v>
      </c>
      <c r="K10">
        <f>LN(J10)</f>
        <v>4.1488327475061704</v>
      </c>
      <c r="L10" s="2" t="s">
        <v>17</v>
      </c>
      <c r="M10" s="10">
        <f>(K8+K9)/2-M8</f>
        <v>-0.47223080442042598</v>
      </c>
      <c r="O10" s="10">
        <f>EXP(M10)</f>
        <v>0.62360956446232341</v>
      </c>
      <c r="Q10" t="str">
        <f>A9</f>
        <v>Not Cured</v>
      </c>
      <c r="R10" s="38">
        <v>17.36</v>
      </c>
      <c r="S10" s="39">
        <v>44.64</v>
      </c>
      <c r="T10">
        <f>SUM(A9:C9)</f>
        <v>62</v>
      </c>
      <c r="V10">
        <f>T11</f>
        <v>150</v>
      </c>
      <c r="W10">
        <f>COUNT(B8:B9)</f>
        <v>2</v>
      </c>
      <c r="X10">
        <f>COUNT(B8:C8)</f>
        <v>2</v>
      </c>
      <c r="Y10">
        <f>(W10-1)*(X10-1)</f>
        <v>1</v>
      </c>
      <c r="AC10" s="14" t="s">
        <v>26</v>
      </c>
      <c r="AD10" s="7" t="e">
        <f ca="1">[1]!CHI_MAX2($B$8:$C$9,AD6:AE7)</f>
        <v>#NAME?</v>
      </c>
      <c r="AH10" s="14" t="s">
        <v>26</v>
      </c>
      <c r="AI10" s="7" t="e">
        <f ca="1">CHI_MAX2($B$8:$C$9,AI6:AJ7)</f>
        <v>#NAME?</v>
      </c>
      <c r="AM10" s="14" t="s">
        <v>26</v>
      </c>
      <c r="AN10" s="7" t="e">
        <f ca="1">CHI_MAX2($B$8:$C$9,AN6:AO7)</f>
        <v>#NAME?</v>
      </c>
    </row>
    <row r="11" spans="1:42" x14ac:dyDescent="0.35">
      <c r="F11" s="11">
        <f>F10+1</f>
        <v>4</v>
      </c>
      <c r="G11" s="11">
        <v>-1</v>
      </c>
      <c r="H11" s="11">
        <v>-1</v>
      </c>
      <c r="I11" s="11">
        <f>G11*H11</f>
        <v>1</v>
      </c>
      <c r="J11" s="12">
        <f>C17</f>
        <v>44.64</v>
      </c>
      <c r="K11" s="12">
        <f>LN(J11)</f>
        <v>3.7986303180730556</v>
      </c>
      <c r="L11" s="2" t="s">
        <v>18</v>
      </c>
      <c r="M11" s="13">
        <f>(K8+K11)/2-M8</f>
        <v>0</v>
      </c>
      <c r="O11" s="13">
        <f>EXP(M11)</f>
        <v>1</v>
      </c>
      <c r="Q11" t="s">
        <v>5</v>
      </c>
      <c r="R11">
        <f>SUM(B7:B9)</f>
        <v>42</v>
      </c>
      <c r="S11">
        <f>SUM(C7:C9)</f>
        <v>108</v>
      </c>
      <c r="T11">
        <f>SUM(T9:T10)</f>
        <v>150</v>
      </c>
      <c r="AC11" t="s">
        <v>34</v>
      </c>
      <c r="AD11" s="10">
        <v>2</v>
      </c>
      <c r="AH11" t="s">
        <v>34</v>
      </c>
      <c r="AI11" s="10">
        <v>2</v>
      </c>
      <c r="AM11" t="s">
        <v>34</v>
      </c>
      <c r="AN11" s="10">
        <v>3</v>
      </c>
    </row>
    <row r="12" spans="1:42" ht="15" thickBot="1" x14ac:dyDescent="0.4">
      <c r="F12" s="6"/>
      <c r="G12" s="6"/>
      <c r="H12" s="6"/>
      <c r="I12" s="6"/>
      <c r="V12" t="s">
        <v>79</v>
      </c>
      <c r="AC12" s="24" t="s">
        <v>35</v>
      </c>
      <c r="AD12" s="10">
        <v>0.05</v>
      </c>
      <c r="AH12" t="s">
        <v>35</v>
      </c>
      <c r="AI12" s="10">
        <v>0.05</v>
      </c>
      <c r="AM12" t="s">
        <v>35</v>
      </c>
      <c r="AN12" s="10">
        <v>0.05</v>
      </c>
    </row>
    <row r="13" spans="1:42" ht="15" thickTop="1" x14ac:dyDescent="0.35">
      <c r="A13" t="s">
        <v>80</v>
      </c>
      <c r="F13" s="6"/>
      <c r="G13" s="6"/>
      <c r="H13" s="6"/>
      <c r="I13" s="6"/>
      <c r="V13" s="40" t="s">
        <v>81</v>
      </c>
      <c r="W13" s="40" t="s">
        <v>82</v>
      </c>
      <c r="X13" s="40" t="s">
        <v>37</v>
      </c>
      <c r="Y13" s="40" t="s">
        <v>83</v>
      </c>
      <c r="Z13" s="40" t="s">
        <v>84</v>
      </c>
      <c r="AA13" s="40" t="s">
        <v>85</v>
      </c>
      <c r="AC13" s="24" t="s">
        <v>37</v>
      </c>
      <c r="AD13" s="10" t="e">
        <f ca="1">CHIDIST(AD10,AD11)</f>
        <v>#NAME?</v>
      </c>
      <c r="AH13" s="24" t="s">
        <v>37</v>
      </c>
      <c r="AI13" s="10" t="e">
        <f ca="1">CHIDIST(AI10,AI11)</f>
        <v>#NAME?</v>
      </c>
      <c r="AM13" s="24" t="s">
        <v>37</v>
      </c>
      <c r="AN13" s="10" t="e">
        <f ca="1">CHIDIST(AN10,AN11)</f>
        <v>#NAME?</v>
      </c>
    </row>
    <row r="14" spans="1:42" x14ac:dyDescent="0.35">
      <c r="F14" s="6"/>
      <c r="G14" s="6"/>
      <c r="H14" s="6"/>
      <c r="I14" s="6"/>
      <c r="V14" t="s">
        <v>86</v>
      </c>
      <c r="W14" t="e">
        <f ca="1">CHI_STAT2(B8:C9,R9:S10)</f>
        <v>#NAME?</v>
      </c>
      <c r="X14" t="e">
        <f ca="1">CHIDIST(W14,Y10)</f>
        <v>#NAME?</v>
      </c>
      <c r="Y14">
        <f>CHIINV(Y8,Y10)</f>
        <v>3.8414588206941236</v>
      </c>
      <c r="Z14" t="e">
        <f ca="1">IF(Y14&lt;W14,"Yes","No")</f>
        <v>#NAME?</v>
      </c>
      <c r="AA14" t="e">
        <f ca="1">SQRT(W14/(V10*(MIN(W10,X10)-1)))</f>
        <v>#NAME?</v>
      </c>
      <c r="AC14" s="24" t="s">
        <v>38</v>
      </c>
      <c r="AD14" s="29" t="e">
        <f ca="1">IF(AD13&lt;AD12,"yes","no")</f>
        <v>#NAME?</v>
      </c>
      <c r="AH14" s="24" t="s">
        <v>38</v>
      </c>
      <c r="AI14" s="29" t="e">
        <f ca="1">IF(AI13&lt;AI12,"yes","no")</f>
        <v>#NAME?</v>
      </c>
      <c r="AM14" s="24" t="s">
        <v>38</v>
      </c>
      <c r="AN14" s="29" t="e">
        <f ca="1">IF(AN13&lt;AN12,"yes","no")</f>
        <v>#NAME?</v>
      </c>
    </row>
    <row r="15" spans="1:42" x14ac:dyDescent="0.35">
      <c r="B15" s="2" t="s">
        <v>3</v>
      </c>
      <c r="C15" s="2" t="s">
        <v>4</v>
      </c>
      <c r="D15" s="2" t="s">
        <v>5</v>
      </c>
      <c r="F15" s="6"/>
      <c r="G15" s="6"/>
      <c r="H15" s="6"/>
      <c r="I15" s="6"/>
      <c r="V15" t="s">
        <v>87</v>
      </c>
      <c r="W15" t="e">
        <f ca="1">CHI_MAX2(B8:C9,R9:S10)</f>
        <v>#NAME?</v>
      </c>
      <c r="X15" t="e">
        <f ca="1">CHIDIST(W15,Y10)</f>
        <v>#NAME?</v>
      </c>
      <c r="Y15">
        <f>CHIINV(Y8,Y10)</f>
        <v>3.8414588206941236</v>
      </c>
      <c r="Z15" t="e">
        <f ca="1">IF(Y15&lt;W15,"Yes","No")</f>
        <v>#NAME?</v>
      </c>
      <c r="AA15" t="e">
        <f ca="1">SQRT(W15/(V10*(MIN(W10,X10)-1)))</f>
        <v>#NAME?</v>
      </c>
    </row>
    <row r="16" spans="1:42" x14ac:dyDescent="0.35">
      <c r="A16" t="s">
        <v>88</v>
      </c>
      <c r="B16" s="4">
        <f>B10*D8/D10</f>
        <v>24.64</v>
      </c>
      <c r="C16" s="5">
        <f>C10*D8/D10</f>
        <v>63.36</v>
      </c>
      <c r="D16">
        <f>B16+C16</f>
        <v>88</v>
      </c>
      <c r="F16" s="6"/>
      <c r="G16" s="6"/>
      <c r="H16" s="6"/>
      <c r="I16" s="6"/>
    </row>
    <row r="17" spans="1:27" x14ac:dyDescent="0.35">
      <c r="A17" t="s">
        <v>89</v>
      </c>
      <c r="B17" s="8">
        <f>B10*D9/D10</f>
        <v>17.36</v>
      </c>
      <c r="C17" s="9">
        <f>C10*D9/D10</f>
        <v>44.64</v>
      </c>
      <c r="D17">
        <f>SUM(B17:C17)</f>
        <v>62</v>
      </c>
      <c r="F17" s="6"/>
      <c r="G17" s="6"/>
      <c r="H17" s="6"/>
      <c r="I17" s="6"/>
    </row>
    <row r="18" spans="1:27" x14ac:dyDescent="0.35">
      <c r="A18" t="s">
        <v>5</v>
      </c>
      <c r="B18">
        <f>SUM(B16:B17)</f>
        <v>42</v>
      </c>
      <c r="C18">
        <f>SUM(C16:C17)</f>
        <v>108</v>
      </c>
      <c r="D18">
        <f>SUM(D16:D17)</f>
        <v>150</v>
      </c>
      <c r="F18" s="6"/>
      <c r="G18" s="6"/>
      <c r="H18" s="6"/>
      <c r="I18" s="6"/>
    </row>
    <row r="19" spans="1:27" x14ac:dyDescent="0.35">
      <c r="F19" s="6"/>
      <c r="G19" s="6"/>
      <c r="H19" s="6"/>
      <c r="I19" s="6"/>
    </row>
    <row r="21" spans="1:27" x14ac:dyDescent="0.35">
      <c r="A21" s="1" t="s">
        <v>90</v>
      </c>
    </row>
    <row r="23" spans="1:27" x14ac:dyDescent="0.35">
      <c r="A23" t="s">
        <v>68</v>
      </c>
      <c r="F23" t="s">
        <v>69</v>
      </c>
      <c r="G23" s="6"/>
      <c r="H23" s="6"/>
      <c r="I23" t="s">
        <v>70</v>
      </c>
    </row>
    <row r="24" spans="1:27" x14ac:dyDescent="0.35">
      <c r="Q24" t="s">
        <v>71</v>
      </c>
      <c r="V24" t="s">
        <v>72</v>
      </c>
    </row>
    <row r="25" spans="1:27" x14ac:dyDescent="0.35">
      <c r="B25" s="2" t="s">
        <v>3</v>
      </c>
      <c r="C25" s="2" t="s">
        <v>4</v>
      </c>
      <c r="D25" s="2" t="s">
        <v>5</v>
      </c>
      <c r="F25" s="3" t="s">
        <v>6</v>
      </c>
      <c r="G25" s="3" t="s">
        <v>7</v>
      </c>
      <c r="H25" s="3" t="s">
        <v>8</v>
      </c>
      <c r="I25" s="3" t="s">
        <v>9</v>
      </c>
      <c r="J25" s="3" t="s">
        <v>73</v>
      </c>
      <c r="K25" s="3" t="s">
        <v>32</v>
      </c>
    </row>
    <row r="26" spans="1:27" ht="15" thickBot="1" x14ac:dyDescent="0.4">
      <c r="A26" t="s">
        <v>13</v>
      </c>
      <c r="B26" s="4">
        <v>31</v>
      </c>
      <c r="C26" s="5">
        <v>57</v>
      </c>
      <c r="D26">
        <f>SUM(B26:C26)</f>
        <v>88</v>
      </c>
      <c r="F26" s="6">
        <v>1</v>
      </c>
      <c r="G26" s="6">
        <v>1</v>
      </c>
      <c r="H26" s="6">
        <v>1</v>
      </c>
      <c r="I26" s="6">
        <f>G26*H26</f>
        <v>1</v>
      </c>
      <c r="J26">
        <f>B34</f>
        <v>21</v>
      </c>
      <c r="K26">
        <f>LN(J26)</f>
        <v>3.044522437723423</v>
      </c>
      <c r="L26" s="2" t="s">
        <v>14</v>
      </c>
      <c r="M26" s="7">
        <f>AVERAGE(K26:K29)</f>
        <v>3.516753242143849</v>
      </c>
      <c r="O26" s="7">
        <f>EXP(M26)</f>
        <v>33.674916480965486</v>
      </c>
      <c r="R26" t="str">
        <f>B25</f>
        <v>Therapy 1</v>
      </c>
      <c r="S26" t="str">
        <f>C25</f>
        <v>Therapy 2</v>
      </c>
      <c r="T26" t="s">
        <v>5</v>
      </c>
      <c r="V26" t="s">
        <v>74</v>
      </c>
      <c r="X26" t="s">
        <v>75</v>
      </c>
      <c r="Y26">
        <v>0.05</v>
      </c>
    </row>
    <row r="27" spans="1:27" ht="15" thickTop="1" x14ac:dyDescent="0.35">
      <c r="A27" t="s">
        <v>15</v>
      </c>
      <c r="B27" s="8">
        <v>11</v>
      </c>
      <c r="C27" s="9">
        <v>51</v>
      </c>
      <c r="D27">
        <f>SUM(B27:C27)</f>
        <v>62</v>
      </c>
      <c r="F27" s="6">
        <f>F26+1</f>
        <v>2</v>
      </c>
      <c r="G27" s="6">
        <v>-1</v>
      </c>
      <c r="H27" s="6">
        <v>1</v>
      </c>
      <c r="I27" s="6">
        <f>G27*H27</f>
        <v>-1</v>
      </c>
      <c r="J27">
        <f>B35</f>
        <v>21</v>
      </c>
      <c r="K27">
        <f>LN(J27)</f>
        <v>3.044522437723423</v>
      </c>
      <c r="L27" s="2" t="s">
        <v>16</v>
      </c>
      <c r="M27" s="10">
        <f>(K26+K28)/2-M26</f>
        <v>0</v>
      </c>
      <c r="O27" s="10">
        <f>EXP(M27)</f>
        <v>1</v>
      </c>
      <c r="Q27" t="str">
        <f>A26</f>
        <v>Cured</v>
      </c>
      <c r="R27" s="36">
        <f t="array" ref="R27:S28">B34:C35</f>
        <v>21</v>
      </c>
      <c r="S27" s="37">
        <v>54</v>
      </c>
      <c r="T27">
        <f>SUM(A26:C26)</f>
        <v>88</v>
      </c>
      <c r="V27" s="40" t="s">
        <v>76</v>
      </c>
      <c r="W27" s="40" t="s">
        <v>77</v>
      </c>
      <c r="X27" s="40" t="s">
        <v>78</v>
      </c>
      <c r="Y27" s="40" t="s">
        <v>34</v>
      </c>
    </row>
    <row r="28" spans="1:27" x14ac:dyDescent="0.35">
      <c r="A28" t="s">
        <v>5</v>
      </c>
      <c r="B28">
        <f>SUM(B26:B27)</f>
        <v>42</v>
      </c>
      <c r="C28">
        <f>SUM(C26:C27)</f>
        <v>108</v>
      </c>
      <c r="D28">
        <f>SUM(D26:D27)</f>
        <v>150</v>
      </c>
      <c r="F28" s="6">
        <f>F27+1</f>
        <v>3</v>
      </c>
      <c r="G28" s="6">
        <v>1</v>
      </c>
      <c r="H28" s="6">
        <v>-1</v>
      </c>
      <c r="I28" s="6">
        <f>G28*H28</f>
        <v>-1</v>
      </c>
      <c r="J28">
        <f>C34</f>
        <v>54</v>
      </c>
      <c r="K28">
        <f>LN(J28)</f>
        <v>3.9889840465642745</v>
      </c>
      <c r="L28" s="2" t="s">
        <v>17</v>
      </c>
      <c r="M28" s="10">
        <f>(K26+K27)/2-M26</f>
        <v>-0.47223080442042598</v>
      </c>
      <c r="O28" s="10">
        <f>EXP(M28)</f>
        <v>0.62360956446232341</v>
      </c>
      <c r="Q28" t="str">
        <f>A27</f>
        <v>Not Cured</v>
      </c>
      <c r="R28" s="38">
        <v>21</v>
      </c>
      <c r="S28" s="39">
        <v>54</v>
      </c>
      <c r="T28">
        <f>SUM(A27:C27)</f>
        <v>62</v>
      </c>
      <c r="V28">
        <f>T29</f>
        <v>150</v>
      </c>
      <c r="W28">
        <f>COUNT(B26:B27)</f>
        <v>2</v>
      </c>
      <c r="X28">
        <f>COUNT(B26:C26)</f>
        <v>2</v>
      </c>
      <c r="Y28">
        <f>2</f>
        <v>2</v>
      </c>
    </row>
    <row r="29" spans="1:27" x14ac:dyDescent="0.35">
      <c r="F29" s="11">
        <f>F28+1</f>
        <v>4</v>
      </c>
      <c r="G29" s="11">
        <v>-1</v>
      </c>
      <c r="H29" s="11">
        <v>-1</v>
      </c>
      <c r="I29" s="11">
        <f>G29*H29</f>
        <v>1</v>
      </c>
      <c r="J29" s="12">
        <f>C35</f>
        <v>54</v>
      </c>
      <c r="K29" s="12">
        <f>LN(J29)</f>
        <v>3.9889840465642745</v>
      </c>
      <c r="L29" s="2" t="s">
        <v>18</v>
      </c>
      <c r="M29" s="13">
        <f>(K26+K29)/2-M26</f>
        <v>0</v>
      </c>
      <c r="O29" s="13">
        <f>EXP(M29)</f>
        <v>1</v>
      </c>
      <c r="Q29" t="s">
        <v>5</v>
      </c>
      <c r="R29">
        <f>SUM(B25:B27)</f>
        <v>42</v>
      </c>
      <c r="S29">
        <f>SUM(C25:C27)</f>
        <v>108</v>
      </c>
      <c r="T29">
        <f>SUM(T27:T28)</f>
        <v>150</v>
      </c>
    </row>
    <row r="30" spans="1:27" ht="15" thickBot="1" x14ac:dyDescent="0.4">
      <c r="F30" s="6"/>
      <c r="G30" s="6"/>
      <c r="H30" s="6"/>
      <c r="I30" s="6"/>
      <c r="V30" t="s">
        <v>79</v>
      </c>
    </row>
    <row r="31" spans="1:27" ht="15" thickTop="1" x14ac:dyDescent="0.35">
      <c r="A31" t="s">
        <v>80</v>
      </c>
      <c r="F31" s="6"/>
      <c r="G31" s="6"/>
      <c r="H31" s="6"/>
      <c r="I31" s="6"/>
      <c r="V31" s="40" t="s">
        <v>81</v>
      </c>
      <c r="W31" s="40" t="s">
        <v>82</v>
      </c>
      <c r="X31" s="40" t="s">
        <v>37</v>
      </c>
      <c r="Y31" s="40" t="s">
        <v>83</v>
      </c>
      <c r="Z31" s="40" t="s">
        <v>84</v>
      </c>
      <c r="AA31" s="40" t="s">
        <v>85</v>
      </c>
    </row>
    <row r="32" spans="1:27" x14ac:dyDescent="0.35">
      <c r="F32" s="6"/>
      <c r="G32" s="6"/>
      <c r="H32" s="6"/>
      <c r="I32" s="6"/>
      <c r="V32" t="s">
        <v>86</v>
      </c>
      <c r="W32" t="e">
        <f ca="1">CHI_STAT2(B26:C27,R27:S28)</f>
        <v>#NAME?</v>
      </c>
      <c r="X32" t="e">
        <f ca="1">CHIDIST(W32,Y28)</f>
        <v>#NAME?</v>
      </c>
      <c r="Y32">
        <f>CHIINV(Y26,Y28)</f>
        <v>5.9914645471079817</v>
      </c>
      <c r="Z32" t="e">
        <f ca="1">IF(Y32&lt;W32,"Yes","No")</f>
        <v>#NAME?</v>
      </c>
      <c r="AA32" t="e">
        <f ca="1">SQRT(W32/(V28*(MIN(W28,X28)-1)))</f>
        <v>#NAME?</v>
      </c>
    </row>
    <row r="33" spans="1:27" x14ac:dyDescent="0.35">
      <c r="B33" s="2" t="s">
        <v>3</v>
      </c>
      <c r="C33" s="2" t="s">
        <v>4</v>
      </c>
      <c r="D33" s="2" t="s">
        <v>5</v>
      </c>
      <c r="F33" s="6"/>
      <c r="G33" s="6"/>
      <c r="H33" s="6"/>
      <c r="I33" s="6"/>
      <c r="V33" t="s">
        <v>87</v>
      </c>
      <c r="W33" t="e">
        <f ca="1">CHI_MAX2(B26:C27,R27:S28)</f>
        <v>#NAME?</v>
      </c>
      <c r="X33" t="e">
        <f ca="1">CHIDIST(W33,Y28)</f>
        <v>#NAME?</v>
      </c>
      <c r="Y33">
        <f>CHIINV(Y26,Y28)</f>
        <v>5.9914645471079817</v>
      </c>
      <c r="Z33" t="e">
        <f ca="1">IF(Y33&lt;W33,"Yes","No")</f>
        <v>#NAME?</v>
      </c>
      <c r="AA33" t="e">
        <f ca="1">SQRT(W33/(V28*(MIN(W28,X28)-1)))</f>
        <v>#NAME?</v>
      </c>
    </row>
    <row r="34" spans="1:27" x14ac:dyDescent="0.35">
      <c r="A34" t="s">
        <v>13</v>
      </c>
      <c r="B34" s="4">
        <f>B28/2</f>
        <v>21</v>
      </c>
      <c r="C34" s="5">
        <f>C28/2</f>
        <v>54</v>
      </c>
      <c r="D34">
        <f>B34+C34</f>
        <v>75</v>
      </c>
      <c r="F34" s="6"/>
      <c r="G34" s="6"/>
      <c r="H34" s="6"/>
      <c r="I34" s="6"/>
    </row>
    <row r="35" spans="1:27" x14ac:dyDescent="0.35">
      <c r="A35" t="s">
        <v>15</v>
      </c>
      <c r="B35" s="8">
        <f>B28/2</f>
        <v>21</v>
      </c>
      <c r="C35" s="9">
        <f>C28/2</f>
        <v>54</v>
      </c>
      <c r="D35">
        <f>SUM(B35:C35)</f>
        <v>75</v>
      </c>
      <c r="F35" s="6"/>
      <c r="G35" s="6"/>
      <c r="H35" s="6"/>
      <c r="I35" s="6"/>
    </row>
    <row r="36" spans="1:27" x14ac:dyDescent="0.35">
      <c r="A36" t="s">
        <v>5</v>
      </c>
      <c r="B36">
        <f>SUM(B34:B35)</f>
        <v>42</v>
      </c>
      <c r="C36">
        <f>SUM(C34:C35)</f>
        <v>108</v>
      </c>
      <c r="D36">
        <f>SUM(D34:D35)</f>
        <v>150</v>
      </c>
      <c r="F36" s="6"/>
      <c r="G36" s="6"/>
      <c r="H36" s="6"/>
      <c r="I36" s="6"/>
    </row>
    <row r="38" spans="1:27" x14ac:dyDescent="0.35">
      <c r="A38" s="1" t="s">
        <v>91</v>
      </c>
    </row>
    <row r="40" spans="1:27" x14ac:dyDescent="0.35">
      <c r="A40" t="s">
        <v>68</v>
      </c>
      <c r="F40" t="s">
        <v>69</v>
      </c>
      <c r="G40" s="6"/>
      <c r="H40" s="6"/>
      <c r="I40" t="s">
        <v>70</v>
      </c>
    </row>
    <row r="41" spans="1:27" x14ac:dyDescent="0.35">
      <c r="Q41" t="s">
        <v>71</v>
      </c>
      <c r="V41" t="s">
        <v>72</v>
      </c>
    </row>
    <row r="42" spans="1:27" x14ac:dyDescent="0.35">
      <c r="B42" s="2" t="s">
        <v>3</v>
      </c>
      <c r="C42" s="2" t="s">
        <v>4</v>
      </c>
      <c r="D42" s="2" t="s">
        <v>5</v>
      </c>
      <c r="F42" s="3" t="s">
        <v>6</v>
      </c>
      <c r="G42" s="3" t="s">
        <v>7</v>
      </c>
      <c r="H42" s="3" t="s">
        <v>8</v>
      </c>
      <c r="I42" s="3" t="s">
        <v>9</v>
      </c>
      <c r="J42" s="3" t="s">
        <v>73</v>
      </c>
      <c r="K42" s="3" t="s">
        <v>32</v>
      </c>
    </row>
    <row r="43" spans="1:27" ht="15" thickBot="1" x14ac:dyDescent="0.4">
      <c r="A43" t="s">
        <v>13</v>
      </c>
      <c r="B43" s="4">
        <v>31</v>
      </c>
      <c r="C43" s="5">
        <v>57</v>
      </c>
      <c r="D43">
        <f>SUM(B43:C43)</f>
        <v>88</v>
      </c>
      <c r="F43" s="6">
        <v>1</v>
      </c>
      <c r="G43" s="6">
        <v>1</v>
      </c>
      <c r="H43" s="6">
        <v>1</v>
      </c>
      <c r="I43" s="6">
        <f>G43*H43</f>
        <v>1</v>
      </c>
      <c r="J43">
        <f>B51</f>
        <v>44</v>
      </c>
      <c r="K43">
        <f>LN(J43)</f>
        <v>3.784189633918261</v>
      </c>
      <c r="L43" s="2" t="s">
        <v>14</v>
      </c>
      <c r="M43" s="7">
        <f>AVERAGE(K43:K46)</f>
        <v>3.6090884192017034</v>
      </c>
      <c r="O43" s="7">
        <f>EXP(M43)</f>
        <v>36.932370625238768</v>
      </c>
      <c r="R43" t="str">
        <f>B42</f>
        <v>Therapy 1</v>
      </c>
      <c r="S43" t="str">
        <f>C42</f>
        <v>Therapy 2</v>
      </c>
      <c r="T43" t="s">
        <v>5</v>
      </c>
      <c r="V43" t="s">
        <v>74</v>
      </c>
      <c r="X43" t="s">
        <v>75</v>
      </c>
      <c r="Y43">
        <v>0.05</v>
      </c>
    </row>
    <row r="44" spans="1:27" ht="15" thickTop="1" x14ac:dyDescent="0.35">
      <c r="A44" t="s">
        <v>15</v>
      </c>
      <c r="B44" s="8">
        <v>11</v>
      </c>
      <c r="C44" s="9">
        <v>51</v>
      </c>
      <c r="D44">
        <f>SUM(B44:C44)</f>
        <v>62</v>
      </c>
      <c r="F44" s="6">
        <f>F43+1</f>
        <v>2</v>
      </c>
      <c r="G44" s="6">
        <v>-1</v>
      </c>
      <c r="H44" s="6">
        <v>1</v>
      </c>
      <c r="I44" s="6">
        <f>G44*H44</f>
        <v>-1</v>
      </c>
      <c r="J44">
        <f>B52</f>
        <v>31</v>
      </c>
      <c r="K44">
        <f>LN(J44)</f>
        <v>3.4339872044851463</v>
      </c>
      <c r="L44" s="2" t="s">
        <v>16</v>
      </c>
      <c r="M44" s="10">
        <f>(K43+K45)/2-M43</f>
        <v>0.1751012147165576</v>
      </c>
      <c r="O44" s="10">
        <f>EXP(M44)</f>
        <v>1.1913667943625412</v>
      </c>
      <c r="Q44" t="str">
        <f>A43</f>
        <v>Cured</v>
      </c>
      <c r="R44" s="36">
        <f t="array" ref="R44:S45">B51:C52</f>
        <v>44</v>
      </c>
      <c r="S44" s="37">
        <v>44</v>
      </c>
      <c r="T44">
        <f>SUM(A43:C43)</f>
        <v>88</v>
      </c>
      <c r="V44" s="40" t="s">
        <v>76</v>
      </c>
      <c r="W44" s="40" t="s">
        <v>77</v>
      </c>
      <c r="X44" s="40" t="s">
        <v>78</v>
      </c>
      <c r="Y44" s="40" t="s">
        <v>34</v>
      </c>
    </row>
    <row r="45" spans="1:27" x14ac:dyDescent="0.35">
      <c r="A45" t="s">
        <v>5</v>
      </c>
      <c r="B45">
        <f>SUM(B43:B44)</f>
        <v>42</v>
      </c>
      <c r="C45">
        <f>SUM(C43:C44)</f>
        <v>108</v>
      </c>
      <c r="D45">
        <f>SUM(D43:D44)</f>
        <v>150</v>
      </c>
      <c r="F45" s="6">
        <f>F44+1</f>
        <v>3</v>
      </c>
      <c r="G45" s="6">
        <v>1</v>
      </c>
      <c r="H45" s="6">
        <v>-1</v>
      </c>
      <c r="I45" s="6">
        <f>G45*H45</f>
        <v>-1</v>
      </c>
      <c r="J45">
        <f>C51</f>
        <v>44</v>
      </c>
      <c r="K45">
        <f>LN(J45)</f>
        <v>3.784189633918261</v>
      </c>
      <c r="L45" s="2" t="s">
        <v>17</v>
      </c>
      <c r="M45" s="10">
        <f>(K43+K44)/2-M43</f>
        <v>0</v>
      </c>
      <c r="O45" s="10">
        <f>EXP(M45)</f>
        <v>1</v>
      </c>
      <c r="Q45" t="str">
        <f>A44</f>
        <v>Not Cured</v>
      </c>
      <c r="R45" s="38">
        <v>31</v>
      </c>
      <c r="S45" s="39">
        <v>31</v>
      </c>
      <c r="T45">
        <f>SUM(A44:C44)</f>
        <v>62</v>
      </c>
      <c r="V45">
        <f>T46</f>
        <v>150</v>
      </c>
      <c r="W45">
        <f>COUNT(B43:B44)</f>
        <v>2</v>
      </c>
      <c r="X45">
        <f>COUNT(B43:C43)</f>
        <v>2</v>
      </c>
      <c r="Y45">
        <f>2</f>
        <v>2</v>
      </c>
    </row>
    <row r="46" spans="1:27" x14ac:dyDescent="0.35">
      <c r="F46" s="11">
        <f>F45+1</f>
        <v>4</v>
      </c>
      <c r="G46" s="11">
        <v>-1</v>
      </c>
      <c r="H46" s="11">
        <v>-1</v>
      </c>
      <c r="I46" s="11">
        <f>G46*H46</f>
        <v>1</v>
      </c>
      <c r="J46" s="12">
        <f>C52</f>
        <v>31</v>
      </c>
      <c r="K46" s="12">
        <f>LN(J46)</f>
        <v>3.4339872044851463</v>
      </c>
      <c r="L46" s="2" t="s">
        <v>18</v>
      </c>
      <c r="M46" s="13">
        <f>(K43+K46)/2-M43</f>
        <v>0</v>
      </c>
      <c r="O46" s="13">
        <f>EXP(M46)</f>
        <v>1</v>
      </c>
      <c r="Q46" t="s">
        <v>5</v>
      </c>
      <c r="R46">
        <f>SUM(B42:B44)</f>
        <v>42</v>
      </c>
      <c r="S46">
        <f>SUM(C42:C44)</f>
        <v>108</v>
      </c>
      <c r="T46">
        <f>SUM(T44:T45)</f>
        <v>150</v>
      </c>
    </row>
    <row r="47" spans="1:27" ht="15" thickBot="1" x14ac:dyDescent="0.4">
      <c r="F47" s="6"/>
      <c r="G47" s="6"/>
      <c r="H47" s="6"/>
      <c r="I47" s="6"/>
      <c r="V47" t="s">
        <v>79</v>
      </c>
    </row>
    <row r="48" spans="1:27" ht="15" thickTop="1" x14ac:dyDescent="0.35">
      <c r="A48" t="s">
        <v>80</v>
      </c>
      <c r="F48" s="6"/>
      <c r="G48" s="6"/>
      <c r="H48" s="6"/>
      <c r="I48" s="6"/>
      <c r="V48" s="40" t="s">
        <v>81</v>
      </c>
      <c r="W48" s="40" t="s">
        <v>82</v>
      </c>
      <c r="X48" s="40" t="s">
        <v>37</v>
      </c>
      <c r="Y48" s="40" t="s">
        <v>83</v>
      </c>
      <c r="Z48" s="40" t="s">
        <v>84</v>
      </c>
      <c r="AA48" s="40" t="s">
        <v>85</v>
      </c>
    </row>
    <row r="49" spans="1:27" x14ac:dyDescent="0.35">
      <c r="F49" s="6"/>
      <c r="G49" s="6"/>
      <c r="H49" s="6"/>
      <c r="I49" s="6"/>
      <c r="V49" t="s">
        <v>86</v>
      </c>
      <c r="W49" t="e">
        <f ca="1">CHI_STAT2(B43:C44,R44:S45)</f>
        <v>#NAME?</v>
      </c>
      <c r="X49" t="e">
        <f ca="1">CHIDIST(W49,Y45)</f>
        <v>#NAME?</v>
      </c>
      <c r="Y49">
        <f>CHIINV(Y43,Y45)</f>
        <v>5.9914645471079817</v>
      </c>
      <c r="Z49" t="e">
        <f ca="1">IF(Y49&lt;W49,"Yes","No")</f>
        <v>#NAME?</v>
      </c>
      <c r="AA49" t="e">
        <f ca="1">SQRT(W49/(V45*(MIN(W45,X45)-1)))</f>
        <v>#NAME?</v>
      </c>
    </row>
    <row r="50" spans="1:27" x14ac:dyDescent="0.35">
      <c r="B50" s="2" t="s">
        <v>3</v>
      </c>
      <c r="C50" s="2" t="s">
        <v>4</v>
      </c>
      <c r="D50" s="2" t="s">
        <v>5</v>
      </c>
      <c r="F50" s="6"/>
      <c r="G50" s="6"/>
      <c r="H50" s="6"/>
      <c r="I50" s="6"/>
      <c r="V50" t="s">
        <v>87</v>
      </c>
      <c r="W50" t="e">
        <f ca="1">CHI_MAX2(B43:C44,R44:S45)</f>
        <v>#NAME?</v>
      </c>
      <c r="X50" t="e">
        <f ca="1">CHIDIST(W50,Y45)</f>
        <v>#NAME?</v>
      </c>
      <c r="Y50">
        <f>CHIINV(Y43,Y45)</f>
        <v>5.9914645471079817</v>
      </c>
      <c r="Z50" t="e">
        <f ca="1">IF(Y50&lt;W50,"Yes","No")</f>
        <v>#NAME?</v>
      </c>
      <c r="AA50" t="e">
        <f ca="1">SQRT(W50/(V45*(MIN(W45,X45)-1)))</f>
        <v>#NAME?</v>
      </c>
    </row>
    <row r="51" spans="1:27" x14ac:dyDescent="0.35">
      <c r="A51" t="s">
        <v>88</v>
      </c>
      <c r="B51" s="4">
        <f>D43/2</f>
        <v>44</v>
      </c>
      <c r="C51" s="5">
        <f>D43/2</f>
        <v>44</v>
      </c>
      <c r="D51">
        <f>B51+C51</f>
        <v>88</v>
      </c>
      <c r="F51" s="6"/>
      <c r="G51" s="6"/>
      <c r="H51" s="6"/>
      <c r="I51" s="6"/>
    </row>
    <row r="52" spans="1:27" x14ac:dyDescent="0.35">
      <c r="A52" t="s">
        <v>89</v>
      </c>
      <c r="B52" s="8">
        <f>D44/2</f>
        <v>31</v>
      </c>
      <c r="C52" s="9">
        <f>D44/2</f>
        <v>31</v>
      </c>
      <c r="D52">
        <f>SUM(B52:C52)</f>
        <v>62</v>
      </c>
      <c r="F52" s="6"/>
      <c r="G52" s="6"/>
      <c r="H52" s="6"/>
      <c r="I52" s="6"/>
    </row>
    <row r="53" spans="1:27" x14ac:dyDescent="0.35">
      <c r="A53" t="s">
        <v>5</v>
      </c>
      <c r="B53">
        <f>SUM(B51:B52)</f>
        <v>75</v>
      </c>
      <c r="C53">
        <f>SUM(C51:C52)</f>
        <v>75</v>
      </c>
      <c r="D53">
        <f>SUM(D51:D52)</f>
        <v>150</v>
      </c>
      <c r="F53" s="6"/>
      <c r="G53" s="6"/>
      <c r="H53" s="6"/>
      <c r="I53" s="6"/>
    </row>
    <row r="54" spans="1:27" x14ac:dyDescent="0.35">
      <c r="F54" s="6"/>
      <c r="G54" s="6"/>
      <c r="H54" s="6"/>
      <c r="I54" s="6"/>
    </row>
    <row r="55" spans="1:27" x14ac:dyDescent="0.35">
      <c r="A55" s="1" t="s">
        <v>67</v>
      </c>
    </row>
    <row r="57" spans="1:27" x14ac:dyDescent="0.35">
      <c r="A57" t="s">
        <v>68</v>
      </c>
      <c r="F57" t="s">
        <v>69</v>
      </c>
      <c r="G57" s="6"/>
      <c r="H57" s="6"/>
      <c r="I57" t="s">
        <v>70</v>
      </c>
    </row>
    <row r="58" spans="1:27" x14ac:dyDescent="0.35">
      <c r="Q58" t="s">
        <v>71</v>
      </c>
      <c r="V58" t="s">
        <v>72</v>
      </c>
    </row>
    <row r="59" spans="1:27" x14ac:dyDescent="0.35">
      <c r="B59" s="2" t="s">
        <v>3</v>
      </c>
      <c r="C59" s="2" t="s">
        <v>4</v>
      </c>
      <c r="D59" s="2" t="s">
        <v>5</v>
      </c>
      <c r="F59" s="3" t="s">
        <v>6</v>
      </c>
      <c r="G59" s="3" t="s">
        <v>7</v>
      </c>
      <c r="H59" s="3" t="s">
        <v>8</v>
      </c>
      <c r="I59" s="3" t="s">
        <v>9</v>
      </c>
      <c r="J59" s="3" t="s">
        <v>73</v>
      </c>
      <c r="K59" s="3" t="s">
        <v>32</v>
      </c>
    </row>
    <row r="60" spans="1:27" ht="15" thickBot="1" x14ac:dyDescent="0.4">
      <c r="A60" t="s">
        <v>13</v>
      </c>
      <c r="B60" s="4">
        <v>31</v>
      </c>
      <c r="C60" s="5">
        <v>57</v>
      </c>
      <c r="D60">
        <f>SUM(B60:C60)</f>
        <v>88</v>
      </c>
      <c r="F60" s="6">
        <v>1</v>
      </c>
      <c r="G60" s="6">
        <v>1</v>
      </c>
      <c r="H60" s="6">
        <v>1</v>
      </c>
      <c r="I60" s="6">
        <f>G60*H60</f>
        <v>1</v>
      </c>
      <c r="J60">
        <f>B68</f>
        <v>37.5</v>
      </c>
      <c r="K60">
        <f>LN(J60)</f>
        <v>3.6243409329763652</v>
      </c>
      <c r="L60" s="2" t="s">
        <v>14</v>
      </c>
      <c r="M60" s="7">
        <f>AVERAGE(K60:K63)</f>
        <v>3.6243409329763652</v>
      </c>
      <c r="O60" s="7">
        <f>EXP(M60)</f>
        <v>37.5</v>
      </c>
      <c r="R60" t="str">
        <f>B59</f>
        <v>Therapy 1</v>
      </c>
      <c r="S60" t="str">
        <f>C59</f>
        <v>Therapy 2</v>
      </c>
      <c r="T60" t="s">
        <v>5</v>
      </c>
      <c r="V60" t="s">
        <v>74</v>
      </c>
      <c r="X60" t="s">
        <v>75</v>
      </c>
      <c r="Y60">
        <v>0.05</v>
      </c>
    </row>
    <row r="61" spans="1:27" ht="15" thickTop="1" x14ac:dyDescent="0.35">
      <c r="A61" t="s">
        <v>15</v>
      </c>
      <c r="B61" s="8">
        <v>11</v>
      </c>
      <c r="C61" s="9">
        <v>51</v>
      </c>
      <c r="D61">
        <f>SUM(B61:C61)</f>
        <v>62</v>
      </c>
      <c r="F61" s="6">
        <f>F60+1</f>
        <v>2</v>
      </c>
      <c r="G61" s="6">
        <v>-1</v>
      </c>
      <c r="H61" s="6">
        <v>1</v>
      </c>
      <c r="I61" s="6">
        <f>G61*H61</f>
        <v>-1</v>
      </c>
      <c r="J61">
        <f>B69</f>
        <v>37.5</v>
      </c>
      <c r="K61">
        <f>LN(J61)</f>
        <v>3.6243409329763652</v>
      </c>
      <c r="L61" s="2" t="s">
        <v>16</v>
      </c>
      <c r="M61" s="10">
        <f>(K60+K62)/2-M60</f>
        <v>0</v>
      </c>
      <c r="O61" s="10">
        <f>EXP(M61)</f>
        <v>1</v>
      </c>
      <c r="Q61" t="str">
        <f>A60</f>
        <v>Cured</v>
      </c>
      <c r="R61" s="36">
        <f t="array" ref="R61:S62">B68:C69</f>
        <v>37.5</v>
      </c>
      <c r="S61" s="37">
        <v>37.5</v>
      </c>
      <c r="T61">
        <f>SUM(A60:C60)</f>
        <v>88</v>
      </c>
      <c r="V61" s="40" t="s">
        <v>76</v>
      </c>
      <c r="W61" s="40" t="s">
        <v>77</v>
      </c>
      <c r="X61" s="40" t="s">
        <v>78</v>
      </c>
      <c r="Y61" s="40" t="s">
        <v>34</v>
      </c>
    </row>
    <row r="62" spans="1:27" x14ac:dyDescent="0.35">
      <c r="A62" t="s">
        <v>5</v>
      </c>
      <c r="B62">
        <f>SUM(B60:B61)</f>
        <v>42</v>
      </c>
      <c r="C62">
        <f>SUM(C60:C61)</f>
        <v>108</v>
      </c>
      <c r="D62">
        <f>SUM(D60:D61)</f>
        <v>150</v>
      </c>
      <c r="F62" s="6">
        <f>F61+1</f>
        <v>3</v>
      </c>
      <c r="G62" s="6">
        <v>1</v>
      </c>
      <c r="H62" s="6">
        <v>-1</v>
      </c>
      <c r="I62" s="6">
        <f>G62*H62</f>
        <v>-1</v>
      </c>
      <c r="J62">
        <f>C68</f>
        <v>37.5</v>
      </c>
      <c r="K62">
        <f>LN(J62)</f>
        <v>3.6243409329763652</v>
      </c>
      <c r="L62" s="2" t="s">
        <v>17</v>
      </c>
      <c r="M62" s="10">
        <f>(K60+K61)/2-M60</f>
        <v>0</v>
      </c>
      <c r="O62" s="10">
        <f>EXP(M62)</f>
        <v>1</v>
      </c>
      <c r="Q62" t="str">
        <f>A61</f>
        <v>Not Cured</v>
      </c>
      <c r="R62" s="38">
        <v>37.5</v>
      </c>
      <c r="S62" s="39">
        <v>37.5</v>
      </c>
      <c r="T62">
        <f>SUM(A61:C61)</f>
        <v>62</v>
      </c>
      <c r="V62">
        <f>T63</f>
        <v>150</v>
      </c>
      <c r="W62">
        <f>COUNT(B60:B61)</f>
        <v>2</v>
      </c>
      <c r="X62">
        <f>COUNT(B60:C60)</f>
        <v>2</v>
      </c>
      <c r="Y62">
        <v>3</v>
      </c>
    </row>
    <row r="63" spans="1:27" x14ac:dyDescent="0.35">
      <c r="F63" s="11">
        <f>F62+1</f>
        <v>4</v>
      </c>
      <c r="G63" s="11">
        <v>-1</v>
      </c>
      <c r="H63" s="11">
        <v>-1</v>
      </c>
      <c r="I63" s="11">
        <f>G63*H63</f>
        <v>1</v>
      </c>
      <c r="J63" s="12">
        <f>C69</f>
        <v>37.5</v>
      </c>
      <c r="K63" s="12">
        <f>LN(J63)</f>
        <v>3.6243409329763652</v>
      </c>
      <c r="L63" s="2" t="s">
        <v>18</v>
      </c>
      <c r="M63" s="13">
        <f>(K60+K63)/2-M60</f>
        <v>0</v>
      </c>
      <c r="O63" s="13">
        <f>EXP(M63)</f>
        <v>1</v>
      </c>
      <c r="Q63" t="s">
        <v>5</v>
      </c>
      <c r="R63">
        <f>SUM(B59:B61)</f>
        <v>42</v>
      </c>
      <c r="S63">
        <f>SUM(C59:C61)</f>
        <v>108</v>
      </c>
      <c r="T63">
        <f>SUM(T61:T62)</f>
        <v>150</v>
      </c>
    </row>
    <row r="64" spans="1:27" ht="15" thickBot="1" x14ac:dyDescent="0.4">
      <c r="F64" s="6"/>
      <c r="G64" s="6"/>
      <c r="H64" s="6"/>
      <c r="I64" s="6"/>
      <c r="V64" t="s">
        <v>79</v>
      </c>
    </row>
    <row r="65" spans="1:27" ht="15" thickTop="1" x14ac:dyDescent="0.35">
      <c r="A65" t="s">
        <v>80</v>
      </c>
      <c r="F65" s="6"/>
      <c r="G65" s="6"/>
      <c r="H65" s="6"/>
      <c r="I65" s="6"/>
      <c r="V65" s="40" t="s">
        <v>81</v>
      </c>
      <c r="W65" s="40" t="s">
        <v>82</v>
      </c>
      <c r="X65" s="40" t="s">
        <v>37</v>
      </c>
      <c r="Y65" s="40" t="s">
        <v>83</v>
      </c>
      <c r="Z65" s="40" t="s">
        <v>84</v>
      </c>
      <c r="AA65" s="40" t="s">
        <v>85</v>
      </c>
    </row>
    <row r="66" spans="1:27" x14ac:dyDescent="0.35">
      <c r="F66" s="6"/>
      <c r="G66" s="6"/>
      <c r="H66" s="6"/>
      <c r="I66" s="6"/>
      <c r="V66" t="s">
        <v>86</v>
      </c>
      <c r="W66" t="e">
        <f ca="1">CHI_STAT2(B60:C61,R61:S62)</f>
        <v>#NAME?</v>
      </c>
      <c r="X66" t="e">
        <f ca="1">CHIDIST(W66,Y62)</f>
        <v>#NAME?</v>
      </c>
      <c r="Y66">
        <f>CHIINV(Y60,Y62)</f>
        <v>7.8147279032511792</v>
      </c>
      <c r="Z66" t="e">
        <f ca="1">IF(Y66&lt;W66,"Yes","No")</f>
        <v>#NAME?</v>
      </c>
      <c r="AA66" t="e">
        <f ca="1">SQRT(W66/(V62*(MIN(W62,X62)-1)))</f>
        <v>#NAME?</v>
      </c>
    </row>
    <row r="67" spans="1:27" x14ac:dyDescent="0.35">
      <c r="B67" s="2" t="s">
        <v>3</v>
      </c>
      <c r="C67" s="2" t="s">
        <v>4</v>
      </c>
      <c r="D67" s="2" t="s">
        <v>5</v>
      </c>
      <c r="F67" s="6"/>
      <c r="G67" s="6"/>
      <c r="H67" s="6"/>
      <c r="I67" s="6"/>
      <c r="V67" t="s">
        <v>87</v>
      </c>
      <c r="W67" t="e">
        <f ca="1">CHI_MAX2(B60:C61,R61:S62)</f>
        <v>#NAME?</v>
      </c>
      <c r="X67" t="e">
        <f ca="1">CHIDIST(W67,Y62)</f>
        <v>#NAME?</v>
      </c>
      <c r="Y67">
        <f>CHIINV(Y60,Y62)</f>
        <v>7.8147279032511792</v>
      </c>
      <c r="Z67" t="e">
        <f ca="1">IF(Y67&lt;W67,"Yes","No")</f>
        <v>#NAME?</v>
      </c>
      <c r="AA67" t="e">
        <f ca="1">SQRT(W67/(V62*(MIN(W62,X62)-1)))</f>
        <v>#NAME?</v>
      </c>
    </row>
    <row r="68" spans="1:27" x14ac:dyDescent="0.35">
      <c r="A68" t="s">
        <v>88</v>
      </c>
      <c r="B68" s="4">
        <f>D62/4</f>
        <v>37.5</v>
      </c>
      <c r="C68" s="5">
        <f>D62/4</f>
        <v>37.5</v>
      </c>
      <c r="D68">
        <f>B68+C68</f>
        <v>75</v>
      </c>
      <c r="F68" s="6"/>
      <c r="G68" s="6"/>
      <c r="H68" s="6"/>
      <c r="I68" s="6"/>
    </row>
    <row r="69" spans="1:27" x14ac:dyDescent="0.35">
      <c r="A69" t="s">
        <v>89</v>
      </c>
      <c r="B69" s="8">
        <f>D62/4</f>
        <v>37.5</v>
      </c>
      <c r="C69" s="9">
        <f>D62/4</f>
        <v>37.5</v>
      </c>
      <c r="D69">
        <f>SUM(B69:C69)</f>
        <v>75</v>
      </c>
      <c r="F69" s="6"/>
      <c r="G69" s="6"/>
      <c r="H69" s="6"/>
      <c r="I69" s="6"/>
    </row>
    <row r="70" spans="1:27" x14ac:dyDescent="0.35">
      <c r="A70" t="s">
        <v>5</v>
      </c>
      <c r="B70">
        <f>SUM(B68:B69)</f>
        <v>75</v>
      </c>
      <c r="C70">
        <f>SUM(C68:C69)</f>
        <v>75</v>
      </c>
      <c r="D70">
        <f>SUM(D68:D69)</f>
        <v>150</v>
      </c>
      <c r="F70" s="6"/>
      <c r="G70" s="6"/>
      <c r="H70" s="6"/>
      <c r="I70" s="6"/>
    </row>
    <row r="71" spans="1:27" x14ac:dyDescent="0.35">
      <c r="F71" s="6"/>
      <c r="G71" s="6"/>
      <c r="H71" s="6"/>
      <c r="I71" s="6"/>
    </row>
    <row r="72" spans="1:27" s="1" customFormat="1" x14ac:dyDescent="0.35">
      <c r="A72" s="1" t="s">
        <v>92</v>
      </c>
      <c r="F72" s="35"/>
      <c r="G72" s="35"/>
      <c r="H72" s="35"/>
      <c r="I72" s="35"/>
    </row>
    <row r="73" spans="1:27" x14ac:dyDescent="0.35">
      <c r="F73" s="6"/>
      <c r="G73" s="6"/>
      <c r="H73" s="6"/>
      <c r="I73" s="6"/>
    </row>
    <row r="74" spans="1:27" x14ac:dyDescent="0.35">
      <c r="A74" t="s">
        <v>68</v>
      </c>
      <c r="F74" t="s">
        <v>69</v>
      </c>
      <c r="G74" s="6"/>
      <c r="H74" s="6"/>
      <c r="I74" t="s">
        <v>70</v>
      </c>
    </row>
    <row r="75" spans="1:27" x14ac:dyDescent="0.35">
      <c r="Q75" t="s">
        <v>71</v>
      </c>
      <c r="V75" t="s">
        <v>72</v>
      </c>
    </row>
    <row r="76" spans="1:27" x14ac:dyDescent="0.35">
      <c r="B76" s="2" t="s">
        <v>3</v>
      </c>
      <c r="C76" s="2" t="s">
        <v>4</v>
      </c>
      <c r="D76" s="2" t="s">
        <v>5</v>
      </c>
      <c r="F76" s="3" t="s">
        <v>6</v>
      </c>
      <c r="G76" s="3" t="s">
        <v>7</v>
      </c>
      <c r="H76" s="3" t="s">
        <v>8</v>
      </c>
      <c r="I76" s="3" t="s">
        <v>9</v>
      </c>
      <c r="J76" s="3" t="s">
        <v>93</v>
      </c>
      <c r="K76" s="3" t="s">
        <v>11</v>
      </c>
    </row>
    <row r="77" spans="1:27" ht="15" thickBot="1" x14ac:dyDescent="0.4">
      <c r="A77" t="s">
        <v>13</v>
      </c>
      <c r="B77" s="4">
        <v>31</v>
      </c>
      <c r="C77" s="5">
        <v>57</v>
      </c>
      <c r="D77">
        <f>SUM(B77:C77)</f>
        <v>88</v>
      </c>
      <c r="F77" s="6">
        <v>1</v>
      </c>
      <c r="G77" s="6">
        <v>1</v>
      </c>
      <c r="H77" s="6">
        <v>1</v>
      </c>
      <c r="I77" s="6">
        <f>G77*H77</f>
        <v>1</v>
      </c>
      <c r="J77">
        <f>B77</f>
        <v>31</v>
      </c>
      <c r="K77">
        <f>LN(J77)</f>
        <v>3.4339872044851463</v>
      </c>
      <c r="L77" s="2" t="s">
        <v>14</v>
      </c>
      <c r="M77" s="7">
        <f>AVERAGE(K77:K80)</f>
        <v>3.4516898444605983</v>
      </c>
      <c r="O77" s="7">
        <f>EXP(M77)</f>
        <v>31.553668073397692</v>
      </c>
      <c r="R77" t="str">
        <f>B76</f>
        <v>Therapy 1</v>
      </c>
      <c r="S77" t="str">
        <f>C76</f>
        <v>Therapy 2</v>
      </c>
      <c r="T77" t="s">
        <v>5</v>
      </c>
      <c r="V77" t="s">
        <v>74</v>
      </c>
      <c r="X77" t="s">
        <v>75</v>
      </c>
      <c r="Y77">
        <v>0.05</v>
      </c>
    </row>
    <row r="78" spans="1:27" ht="15" thickTop="1" x14ac:dyDescent="0.35">
      <c r="A78" t="s">
        <v>15</v>
      </c>
      <c r="B78" s="8">
        <v>11</v>
      </c>
      <c r="C78" s="9">
        <v>51</v>
      </c>
      <c r="D78">
        <f>SUM(B78:C78)</f>
        <v>62</v>
      </c>
      <c r="F78" s="6">
        <f>F77+1</f>
        <v>2</v>
      </c>
      <c r="G78" s="6">
        <v>-1</v>
      </c>
      <c r="H78" s="6">
        <v>1</v>
      </c>
      <c r="I78" s="6">
        <f>G78*H78</f>
        <v>-1</v>
      </c>
      <c r="J78">
        <f>B78</f>
        <v>11</v>
      </c>
      <c r="K78">
        <f>LN(J78)</f>
        <v>2.3978952727983707</v>
      </c>
      <c r="L78" s="2" t="s">
        <v>16</v>
      </c>
      <c r="M78" s="10">
        <f>(K77+K79)/2-M77</f>
        <v>0.28682939169924992</v>
      </c>
      <c r="O78" s="10">
        <f>EXP(M78)</f>
        <v>1.3321969102351976</v>
      </c>
      <c r="Q78" t="str">
        <f>A77</f>
        <v>Cured</v>
      </c>
      <c r="R78" s="36">
        <f t="array" ref="R78:S79">B85:C86</f>
        <v>31</v>
      </c>
      <c r="S78" s="37">
        <v>57</v>
      </c>
      <c r="T78">
        <f>SUM(A77:C77)</f>
        <v>88</v>
      </c>
      <c r="V78" s="40" t="s">
        <v>76</v>
      </c>
      <c r="W78" s="40" t="s">
        <v>77</v>
      </c>
      <c r="X78" s="40" t="s">
        <v>78</v>
      </c>
      <c r="Y78" s="40" t="s">
        <v>34</v>
      </c>
    </row>
    <row r="79" spans="1:27" x14ac:dyDescent="0.35">
      <c r="A79" t="s">
        <v>5</v>
      </c>
      <c r="B79">
        <f>SUM(B77:B78)</f>
        <v>42</v>
      </c>
      <c r="C79">
        <f>SUM(C77:C78)</f>
        <v>108</v>
      </c>
      <c r="D79">
        <f>SUM(D77:D78)</f>
        <v>150</v>
      </c>
      <c r="F79" s="6">
        <f>F78+1</f>
        <v>3</v>
      </c>
      <c r="G79" s="6">
        <v>1</v>
      </c>
      <c r="H79" s="6">
        <v>-1</v>
      </c>
      <c r="I79" s="6">
        <f>G79*H79</f>
        <v>-1</v>
      </c>
      <c r="J79">
        <f>C77</f>
        <v>57</v>
      </c>
      <c r="K79">
        <f>LN(J79)</f>
        <v>4.0430512678345503</v>
      </c>
      <c r="L79" s="2" t="s">
        <v>17</v>
      </c>
      <c r="M79" s="10">
        <f>(K77+K78)/2-M77</f>
        <v>-0.53574860581883987</v>
      </c>
      <c r="O79" s="10">
        <f>EXP(M79)</f>
        <v>0.58523101877299288</v>
      </c>
      <c r="Q79" t="str">
        <f>A78</f>
        <v>Not Cured</v>
      </c>
      <c r="R79" s="38">
        <v>11</v>
      </c>
      <c r="S79" s="39">
        <v>51</v>
      </c>
      <c r="T79">
        <f>SUM(A78:C78)</f>
        <v>62</v>
      </c>
      <c r="V79">
        <f>T80</f>
        <v>150</v>
      </c>
      <c r="W79">
        <f>COUNT(B77:B78)</f>
        <v>2</v>
      </c>
      <c r="X79">
        <f>COUNT(B77:C77)</f>
        <v>2</v>
      </c>
      <c r="Y79">
        <v>0</v>
      </c>
    </row>
    <row r="80" spans="1:27" x14ac:dyDescent="0.35">
      <c r="F80" s="11">
        <f>F79+1</f>
        <v>4</v>
      </c>
      <c r="G80" s="11">
        <v>-1</v>
      </c>
      <c r="H80" s="11">
        <v>-1</v>
      </c>
      <c r="I80" s="11">
        <f>G80*H80</f>
        <v>1</v>
      </c>
      <c r="J80" s="12">
        <f>C78</f>
        <v>51</v>
      </c>
      <c r="K80" s="12">
        <f>LN(J80)</f>
        <v>3.9318256327243257</v>
      </c>
      <c r="L80" s="2" t="s">
        <v>18</v>
      </c>
      <c r="M80" s="13">
        <f>(K77+K80)/2-M77</f>
        <v>0.23121657414413743</v>
      </c>
      <c r="O80" s="13">
        <f>EXP(M80)</f>
        <v>1.2601321219343276</v>
      </c>
      <c r="Q80" t="s">
        <v>5</v>
      </c>
      <c r="R80">
        <f>SUM(B76:B78)</f>
        <v>42</v>
      </c>
      <c r="S80">
        <f>SUM(C76:C78)</f>
        <v>108</v>
      </c>
      <c r="T80">
        <f>SUM(T78:T79)</f>
        <v>150</v>
      </c>
    </row>
    <row r="81" spans="1:27" ht="15" thickBot="1" x14ac:dyDescent="0.4">
      <c r="F81" s="6"/>
      <c r="G81" s="6"/>
      <c r="H81" s="6"/>
      <c r="I81" s="6"/>
      <c r="V81" t="s">
        <v>79</v>
      </c>
    </row>
    <row r="82" spans="1:27" ht="15" thickTop="1" x14ac:dyDescent="0.35">
      <c r="A82" t="s">
        <v>80</v>
      </c>
      <c r="F82" s="6"/>
      <c r="G82" s="6"/>
      <c r="H82" s="6"/>
      <c r="I82" s="6"/>
      <c r="V82" s="40" t="s">
        <v>81</v>
      </c>
      <c r="W82" s="40" t="s">
        <v>82</v>
      </c>
      <c r="X82" s="40" t="s">
        <v>37</v>
      </c>
      <c r="Y82" s="40" t="s">
        <v>83</v>
      </c>
      <c r="Z82" s="40" t="s">
        <v>84</v>
      </c>
      <c r="AA82" s="40" t="s">
        <v>85</v>
      </c>
    </row>
    <row r="83" spans="1:27" x14ac:dyDescent="0.35">
      <c r="F83" s="6"/>
      <c r="G83" s="6"/>
      <c r="H83" s="6"/>
      <c r="I83" s="6"/>
      <c r="V83" t="s">
        <v>86</v>
      </c>
      <c r="W83" t="e">
        <f ca="1">CHI_STAT2(B77:C78,R78:S79)</f>
        <v>#NAME?</v>
      </c>
      <c r="X83" t="e">
        <f ca="1">CHIDIST(W83,Y79)</f>
        <v>#NAME?</v>
      </c>
      <c r="Y83" t="e">
        <f>CHIINV(Y77,Y79)</f>
        <v>#NUM!</v>
      </c>
      <c r="Z83" t="e">
        <f ca="1">IF(Y83&lt;W83,"Yes","No")</f>
        <v>#NUM!</v>
      </c>
      <c r="AA83" t="e">
        <f ca="1">SQRT(W83/(V79*(MIN(W79,X79)-1)))</f>
        <v>#NAME?</v>
      </c>
    </row>
    <row r="84" spans="1:27" x14ac:dyDescent="0.35">
      <c r="B84" s="2" t="s">
        <v>3</v>
      </c>
      <c r="C84" s="2" t="s">
        <v>4</v>
      </c>
      <c r="D84" s="2" t="s">
        <v>5</v>
      </c>
      <c r="F84" s="6"/>
      <c r="G84" s="6"/>
      <c r="H84" s="6"/>
      <c r="I84" s="6"/>
      <c r="V84" t="s">
        <v>87</v>
      </c>
      <c r="W84" t="e">
        <f ca="1">CHI_MAX2(B77:C78,R78:S79)</f>
        <v>#NAME?</v>
      </c>
      <c r="X84" t="e">
        <f ca="1">CHIDIST(W84,Y79)</f>
        <v>#NAME?</v>
      </c>
      <c r="Y84" t="e">
        <f>CHIINV(Y77,Y79)</f>
        <v>#NUM!</v>
      </c>
      <c r="Z84" t="e">
        <f ca="1">IF(Y84&lt;W84,"Yes","No")</f>
        <v>#NUM!</v>
      </c>
      <c r="AA84" t="e">
        <f ca="1">SQRT(W84/(V79*(MIN(W79,X79)-1)))</f>
        <v>#NAME?</v>
      </c>
    </row>
    <row r="85" spans="1:27" x14ac:dyDescent="0.35">
      <c r="A85" t="s">
        <v>88</v>
      </c>
      <c r="B85" s="4">
        <f t="array" ref="B85:C86">B77:C78</f>
        <v>31</v>
      </c>
      <c r="C85" s="5">
        <v>57</v>
      </c>
      <c r="D85">
        <f>B85+C85</f>
        <v>88</v>
      </c>
      <c r="F85" s="6"/>
      <c r="G85" s="6"/>
      <c r="H85" s="6"/>
      <c r="I85" s="6"/>
    </row>
    <row r="86" spans="1:27" x14ac:dyDescent="0.35">
      <c r="A86" t="s">
        <v>89</v>
      </c>
      <c r="B86" s="8">
        <v>11</v>
      </c>
      <c r="C86" s="9">
        <v>51</v>
      </c>
      <c r="D86">
        <f>SUM(B86:C86)</f>
        <v>62</v>
      </c>
      <c r="F86" s="6"/>
      <c r="G86" s="6"/>
      <c r="H86" s="6"/>
      <c r="I86" s="6"/>
    </row>
    <row r="87" spans="1:27" x14ac:dyDescent="0.35">
      <c r="A87" t="s">
        <v>5</v>
      </c>
      <c r="B87">
        <f>SUM(B85:B86)</f>
        <v>42</v>
      </c>
      <c r="C87">
        <f>SUM(C85:C86)</f>
        <v>108</v>
      </c>
      <c r="D87">
        <f>SUM(D85:D86)</f>
        <v>150</v>
      </c>
      <c r="F87" s="6"/>
      <c r="G87" s="6"/>
      <c r="H87" s="6"/>
      <c r="I87" s="6"/>
    </row>
    <row r="88" spans="1:27" x14ac:dyDescent="0.35">
      <c r="F88" s="6"/>
      <c r="G88" s="6"/>
      <c r="H88" s="6"/>
      <c r="I88" s="6"/>
    </row>
    <row r="89" spans="1:27" x14ac:dyDescent="0.35">
      <c r="A89" s="1" t="s">
        <v>94</v>
      </c>
      <c r="F89" s="6"/>
      <c r="G89" s="6"/>
    </row>
    <row r="90" spans="1:27" x14ac:dyDescent="0.35">
      <c r="B90" s="41" t="s">
        <v>26</v>
      </c>
      <c r="C90" s="2" t="s">
        <v>34</v>
      </c>
      <c r="D90" s="2" t="s">
        <v>37</v>
      </c>
      <c r="E90" s="6" t="s">
        <v>38</v>
      </c>
      <c r="G90" s="6"/>
    </row>
    <row r="91" spans="1:27" x14ac:dyDescent="0.35">
      <c r="A91" t="s">
        <v>95</v>
      </c>
      <c r="B91" s="4" t="e">
        <f ca="1">W67</f>
        <v>#NAME?</v>
      </c>
      <c r="C91" s="30">
        <f>Y62</f>
        <v>3</v>
      </c>
      <c r="D91" s="30" t="e">
        <f ca="1">X67</f>
        <v>#NAME?</v>
      </c>
      <c r="E91" s="42" t="e">
        <f ca="1">Z67</f>
        <v>#NAME?</v>
      </c>
    </row>
    <row r="92" spans="1:27" x14ac:dyDescent="0.35">
      <c r="A92" t="s">
        <v>96</v>
      </c>
      <c r="B92" s="25" t="e">
        <f ca="1">W33</f>
        <v>#NAME?</v>
      </c>
      <c r="C92">
        <f>Y28</f>
        <v>2</v>
      </c>
      <c r="D92" t="e">
        <f ca="1">X33</f>
        <v>#NAME?</v>
      </c>
      <c r="E92" s="43" t="e">
        <f ca="1">Z33</f>
        <v>#NAME?</v>
      </c>
    </row>
    <row r="93" spans="1:27" x14ac:dyDescent="0.35">
      <c r="A93" t="s">
        <v>97</v>
      </c>
      <c r="B93" s="25" t="e">
        <f ca="1">W50</f>
        <v>#NAME?</v>
      </c>
      <c r="C93">
        <f>Y45</f>
        <v>2</v>
      </c>
      <c r="D93" t="e">
        <f ca="1">X50</f>
        <v>#NAME?</v>
      </c>
      <c r="E93" s="43" t="e">
        <f ca="1">Z50</f>
        <v>#NAME?</v>
      </c>
    </row>
    <row r="94" spans="1:27" x14ac:dyDescent="0.35">
      <c r="A94" t="s">
        <v>98</v>
      </c>
      <c r="B94" s="25" t="e">
        <f ca="1">W15</f>
        <v>#NAME?</v>
      </c>
      <c r="C94">
        <f>Y10</f>
        <v>1</v>
      </c>
      <c r="D94" t="e">
        <f ca="1">X15</f>
        <v>#NAME?</v>
      </c>
      <c r="E94" s="43" t="e">
        <f ca="1">Z15</f>
        <v>#NAME?</v>
      </c>
    </row>
    <row r="95" spans="1:27" x14ac:dyDescent="0.35">
      <c r="A95" t="s">
        <v>99</v>
      </c>
      <c r="B95" s="44" t="e">
        <f ca="1">W84</f>
        <v>#NAME?</v>
      </c>
      <c r="C95" s="45">
        <f>Y79</f>
        <v>0</v>
      </c>
      <c r="D95" s="45"/>
      <c r="E95" s="46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Title</vt:lpstr>
      <vt:lpstr>Log Lin 1.1</vt:lpstr>
      <vt:lpstr>Log Lin 1.2</vt:lpstr>
      <vt:lpstr>Log Lin 1.3</vt:lpstr>
      <vt:lpstr>Log Lin 1.4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2024-03-12T10:13:04Z</dcterms:created>
  <dcterms:modified xsi:type="dcterms:W3CDTF">2024-03-12T10:30:15Z</dcterms:modified>
</cp:coreProperties>
</file>